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/>
  <mc:AlternateContent xmlns:mc="http://schemas.openxmlformats.org/markup-compatibility/2006">
    <mc:Choice Requires="x15">
      <x15ac:absPath xmlns:x15ac="http://schemas.microsoft.com/office/spreadsheetml/2010/11/ac" url="C:\Users\PC\Desktop\하천녹지사업소\2024-공원관리과\공사\(계약 전) 범계어린이공원 정비공사\1 공고\"/>
    </mc:Choice>
  </mc:AlternateContent>
  <bookViews>
    <workbookView xWindow="-120" yWindow="-120" windowWidth="29040" windowHeight="15840" tabRatio="744" activeTab="3"/>
  </bookViews>
  <sheets>
    <sheet name="설계설명서" sheetId="18" r:id="rId1"/>
    <sheet name="예정공정표" sheetId="19" r:id="rId2"/>
    <sheet name="원가계산서" sheetId="20" r:id="rId3"/>
    <sheet name="내역서" sheetId="1" r:id="rId4"/>
    <sheet name="전역변수" sheetId="12" state="hidden" r:id="rId5"/>
    <sheet name="자재" sheetId="8" state="hidden" r:id="rId6"/>
    <sheet name="중기전역변수" sheetId="13" state="hidden" r:id="rId7"/>
    <sheet name="Sheet3" sheetId="14" state="hidden" r:id="rId8"/>
  </sheets>
  <externalReferences>
    <externalReference r:id="rId9"/>
  </externalReferences>
  <definedNames>
    <definedName name="_xlnm.Print_Area" localSheetId="3">내역서!$A$1:$AT$192</definedName>
    <definedName name="_xlnm.Print_Area" localSheetId="0">설계설명서!$A$1:$O$22</definedName>
    <definedName name="_xlnm.Print_Area" localSheetId="1">예정공정표!$A$1:$M$12</definedName>
    <definedName name="_xlnm.Print_Area" localSheetId="2">원가계산서!$A$1:$M$36</definedName>
    <definedName name="_xlnm.Print_Titles" localSheetId="3">내역서!$1:$3</definedName>
    <definedName name="_xlnm.Print_Titles" localSheetId="0">설계설명서!$1:$3</definedName>
    <definedName name="_xlnm.Print_Titles" localSheetId="1">예정공정표!$1:$3</definedName>
    <definedName name="_xlnm.Print_Titles" localSheetId="2">원가계산서!$1:$3</definedName>
    <definedName name="_xlnm.Print_Titles" localSheetId="5">자재!$1:$2</definedName>
    <definedName name="_xlnm.Print_Titles" localSheetId="4">전역변수!$1:$2</definedName>
    <definedName name="_xlnm.Print_Titles" localSheetId="6">중기전역변수!$1:$2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20" l="1"/>
  <c r="L22" i="1"/>
  <c r="L192" i="1"/>
  <c r="L186" i="1"/>
  <c r="L32" i="20" l="1"/>
  <c r="I30" i="20"/>
  <c r="L27" i="20"/>
  <c r="L26" i="20"/>
  <c r="G13" i="20"/>
  <c r="I5" i="20"/>
  <c r="B12" i="19"/>
  <c r="BI5" i="1" l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BI20" i="1"/>
  <c r="E21" i="1"/>
  <c r="E22" i="1"/>
  <c r="E23" i="1"/>
  <c r="BI24" i="1"/>
  <c r="E25" i="1"/>
  <c r="E26" i="1"/>
  <c r="E27" i="1"/>
  <c r="BI28" i="1"/>
  <c r="BI29" i="1"/>
  <c r="E30" i="1"/>
  <c r="BI32" i="1"/>
  <c r="BI33" i="1"/>
  <c r="BI34" i="1"/>
  <c r="BI35" i="1"/>
  <c r="BI36" i="1"/>
  <c r="E56" i="1"/>
  <c r="F56" i="1"/>
  <c r="E57" i="1"/>
  <c r="F57" i="1"/>
  <c r="E59" i="1"/>
  <c r="BI60" i="1"/>
  <c r="E61" i="1"/>
  <c r="J62" i="1"/>
  <c r="L62" i="1"/>
  <c r="BI62" i="1"/>
  <c r="H63" i="1"/>
  <c r="J63" i="1"/>
  <c r="L63" i="1"/>
  <c r="BI63" i="1"/>
  <c r="E64" i="1"/>
  <c r="F64" i="1"/>
  <c r="E65" i="1"/>
  <c r="F65" i="1"/>
  <c r="BI67" i="1"/>
  <c r="BI68" i="1"/>
  <c r="BI69" i="1"/>
  <c r="BI70" i="1"/>
  <c r="BI71" i="1"/>
  <c r="BI72" i="1"/>
  <c r="BI73" i="1"/>
  <c r="BI74" i="1"/>
  <c r="BI75" i="1"/>
  <c r="BI76" i="1"/>
  <c r="BI77" i="1"/>
  <c r="BI78" i="1"/>
  <c r="BI79" i="1"/>
  <c r="BI80" i="1"/>
  <c r="BI81" i="1"/>
  <c r="BI82" i="1"/>
  <c r="BI83" i="1"/>
  <c r="BI84" i="1"/>
  <c r="BI85" i="1"/>
  <c r="BI86" i="1"/>
  <c r="BI87" i="1"/>
  <c r="BI88" i="1"/>
  <c r="BI89" i="1"/>
  <c r="BI90" i="1"/>
  <c r="BI91" i="1"/>
  <c r="BI92" i="1"/>
  <c r="BI93" i="1"/>
  <c r="E94" i="1"/>
  <c r="F94" i="1"/>
  <c r="E95" i="1"/>
  <c r="F95" i="1"/>
  <c r="BI97" i="1"/>
  <c r="BI98" i="1"/>
  <c r="BI99" i="1"/>
  <c r="BI100" i="1"/>
  <c r="BI101" i="1"/>
  <c r="BI102" i="1"/>
  <c r="E103" i="1"/>
  <c r="F103" i="1"/>
  <c r="E104" i="1"/>
  <c r="F104" i="1"/>
  <c r="E106" i="1"/>
  <c r="BI106" i="1"/>
  <c r="E107" i="1"/>
  <c r="BI107" i="1"/>
  <c r="E108" i="1"/>
  <c r="BI108" i="1"/>
  <c r="H109" i="1"/>
  <c r="F109" i="1" s="1"/>
  <c r="BI109" i="1"/>
  <c r="H110" i="1"/>
  <c r="F110" i="1" s="1"/>
  <c r="BI110" i="1"/>
  <c r="E111" i="1"/>
  <c r="BI111" i="1"/>
  <c r="E112" i="1"/>
  <c r="BI112" i="1"/>
  <c r="E113" i="1"/>
  <c r="BI113" i="1"/>
  <c r="E114" i="1"/>
  <c r="BI114" i="1"/>
  <c r="H115" i="1"/>
  <c r="F115" i="1" s="1"/>
  <c r="BI115" i="1"/>
  <c r="BI116" i="1"/>
  <c r="E117" i="1"/>
  <c r="BI117" i="1"/>
  <c r="H118" i="1"/>
  <c r="F118" i="1" s="1"/>
  <c r="BI118" i="1"/>
  <c r="BI119" i="1"/>
  <c r="BI120" i="1"/>
  <c r="BI121" i="1"/>
  <c r="BI122" i="1"/>
  <c r="H123" i="1"/>
  <c r="F123" i="1" s="1"/>
  <c r="BI123" i="1"/>
  <c r="E124" i="1"/>
  <c r="BI124" i="1"/>
  <c r="E125" i="1"/>
  <c r="BI125" i="1"/>
  <c r="E126" i="1"/>
  <c r="BI126" i="1"/>
  <c r="E127" i="1"/>
  <c r="BI127" i="1"/>
  <c r="H128" i="1"/>
  <c r="F128" i="1" s="1"/>
  <c r="BI128" i="1"/>
  <c r="E129" i="1"/>
  <c r="BI129" i="1"/>
  <c r="E130" i="1"/>
  <c r="F130" i="1"/>
  <c r="E131" i="1"/>
  <c r="F131" i="1"/>
  <c r="BI133" i="1"/>
  <c r="BI134" i="1"/>
  <c r="BI135" i="1"/>
  <c r="BI136" i="1"/>
  <c r="BI137" i="1"/>
  <c r="E138" i="1"/>
  <c r="F138" i="1"/>
  <c r="BI140" i="1"/>
  <c r="E141" i="1"/>
  <c r="F141" i="1"/>
  <c r="E142" i="1"/>
  <c r="F142" i="1"/>
  <c r="J143" i="1"/>
  <c r="I24" i="1" s="1"/>
  <c r="J24" i="1" s="1"/>
  <c r="L143" i="1"/>
  <c r="K24" i="1" s="1"/>
  <c r="L24" i="1" s="1"/>
  <c r="E144" i="1"/>
  <c r="BI144" i="1"/>
  <c r="E145" i="1"/>
  <c r="F145" i="1"/>
  <c r="E165" i="1"/>
  <c r="F165" i="1"/>
  <c r="J166" i="1"/>
  <c r="I28" i="1" s="1"/>
  <c r="J28" i="1" s="1"/>
  <c r="E167" i="1"/>
  <c r="BI167" i="1"/>
  <c r="H168" i="1"/>
  <c r="F168" i="1" s="1"/>
  <c r="BI168" i="1"/>
  <c r="E169" i="1"/>
  <c r="BI169" i="1"/>
  <c r="E170" i="1"/>
  <c r="BI170" i="1"/>
  <c r="E171" i="1"/>
  <c r="BI171" i="1"/>
  <c r="E172" i="1"/>
  <c r="BI172" i="1"/>
  <c r="E173" i="1"/>
  <c r="BI173" i="1"/>
  <c r="E174" i="1"/>
  <c r="BI174" i="1"/>
  <c r="E175" i="1"/>
  <c r="BI175" i="1"/>
  <c r="E176" i="1"/>
  <c r="BI176" i="1"/>
  <c r="H177" i="1"/>
  <c r="F177" i="1" s="1"/>
  <c r="BI177" i="1"/>
  <c r="H178" i="1"/>
  <c r="F178" i="1" s="1"/>
  <c r="BI178" i="1"/>
  <c r="E179" i="1"/>
  <c r="BI179" i="1"/>
  <c r="H180" i="1"/>
  <c r="F180" i="1" s="1"/>
  <c r="BI180" i="1"/>
  <c r="E181" i="1"/>
  <c r="BI181" i="1"/>
  <c r="H182" i="1"/>
  <c r="F182" i="1" s="1"/>
  <c r="BI182" i="1"/>
  <c r="E183" i="1"/>
  <c r="BI183" i="1"/>
  <c r="H184" i="1"/>
  <c r="F184" i="1" s="1"/>
  <c r="BI184" i="1"/>
  <c r="H185" i="1"/>
  <c r="F185" i="1" s="1"/>
  <c r="BI185" i="1"/>
  <c r="E186" i="1"/>
  <c r="E187" i="1"/>
  <c r="F187" i="1"/>
  <c r="J188" i="1"/>
  <c r="I29" i="1" s="1"/>
  <c r="J29" i="1" s="1"/>
  <c r="E189" i="1"/>
  <c r="BI189" i="1"/>
  <c r="E190" i="1"/>
  <c r="BI190" i="1"/>
  <c r="H191" i="1"/>
  <c r="F191" i="1" s="1"/>
  <c r="BI191" i="1"/>
  <c r="E192" i="1"/>
  <c r="J140" i="1"/>
  <c r="J139" i="1" s="1"/>
  <c r="I20" i="1" s="1"/>
  <c r="J20" i="1" s="1"/>
  <c r="D3" i="8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C18" i="13"/>
  <c r="C19" i="13"/>
  <c r="C20" i="13"/>
  <c r="C21" i="13"/>
  <c r="C22" i="13"/>
  <c r="C23" i="13"/>
  <c r="H129" i="1"/>
  <c r="F129" i="1" s="1"/>
  <c r="H183" i="1"/>
  <c r="F183" i="1" s="1"/>
  <c r="H117" i="1"/>
  <c r="F117" i="1" s="1"/>
  <c r="H189" i="1" l="1"/>
  <c r="F189" i="1" s="1"/>
  <c r="H175" i="1"/>
  <c r="F175" i="1" s="1"/>
  <c r="H179" i="1"/>
  <c r="F179" i="1" s="1"/>
  <c r="H113" i="1"/>
  <c r="F113" i="1" s="1"/>
  <c r="H106" i="1"/>
  <c r="F106" i="1" s="1"/>
  <c r="H111" i="1"/>
  <c r="F111" i="1" s="1"/>
  <c r="H126" i="1"/>
  <c r="F126" i="1" s="1"/>
  <c r="E118" i="1"/>
  <c r="E168" i="1"/>
  <c r="E178" i="1"/>
  <c r="E62" i="1"/>
  <c r="H125" i="1"/>
  <c r="F125" i="1" s="1"/>
  <c r="F63" i="1"/>
  <c r="H107" i="1"/>
  <c r="F107" i="1" s="1"/>
  <c r="H169" i="1"/>
  <c r="F169" i="1" s="1"/>
  <c r="H172" i="1"/>
  <c r="F172" i="1" s="1"/>
  <c r="H176" i="1"/>
  <c r="F176" i="1" s="1"/>
  <c r="E191" i="1"/>
  <c r="E177" i="1"/>
  <c r="E123" i="1"/>
  <c r="E115" i="1"/>
  <c r="E63" i="1"/>
  <c r="H190" i="1"/>
  <c r="F190" i="1" s="1"/>
  <c r="E180" i="1"/>
  <c r="H114" i="1"/>
  <c r="F114" i="1" s="1"/>
  <c r="L61" i="1"/>
  <c r="E184" i="1"/>
  <c r="J61" i="1"/>
  <c r="H171" i="1"/>
  <c r="F171" i="1" s="1"/>
  <c r="H108" i="1"/>
  <c r="F108" i="1" s="1"/>
  <c r="E110" i="1"/>
  <c r="E185" i="1"/>
  <c r="E182" i="1"/>
  <c r="E128" i="1"/>
  <c r="H167" i="1"/>
  <c r="H173" i="1"/>
  <c r="F173" i="1" s="1"/>
  <c r="H170" i="1"/>
  <c r="F170" i="1" s="1"/>
  <c r="E109" i="1"/>
  <c r="H144" i="1"/>
  <c r="H124" i="1"/>
  <c r="F124" i="1" s="1"/>
  <c r="H112" i="1"/>
  <c r="F112" i="1" s="1"/>
  <c r="H62" i="1"/>
  <c r="H181" i="1"/>
  <c r="F181" i="1" s="1"/>
  <c r="H127" i="1"/>
  <c r="F127" i="1" s="1"/>
  <c r="H174" i="1"/>
  <c r="F174" i="1" s="1"/>
  <c r="AB191" i="1" l="1"/>
  <c r="AD191" i="1" s="1"/>
  <c r="H188" i="1"/>
  <c r="G29" i="1" s="1"/>
  <c r="F192" i="1"/>
  <c r="H166" i="1"/>
  <c r="AB185" i="1"/>
  <c r="AD185" i="1" s="1"/>
  <c r="F167" i="1"/>
  <c r="H61" i="1"/>
  <c r="F61" i="1" s="1"/>
  <c r="F62" i="1"/>
  <c r="H143" i="1"/>
  <c r="F144" i="1"/>
  <c r="L135" i="1" l="1"/>
  <c r="J135" i="1"/>
  <c r="J84" i="1"/>
  <c r="L188" i="1"/>
  <c r="K29" i="1" s="1"/>
  <c r="L29" i="1" s="1"/>
  <c r="H29" i="1"/>
  <c r="G28" i="1"/>
  <c r="G24" i="1"/>
  <c r="F143" i="1"/>
  <c r="L166" i="1"/>
  <c r="K28" i="1" s="1"/>
  <c r="L28" i="1" s="1"/>
  <c r="F186" i="1"/>
  <c r="L84" i="1" l="1"/>
  <c r="H140" i="1"/>
  <c r="J73" i="1"/>
  <c r="J88" i="1"/>
  <c r="J87" i="1"/>
  <c r="J75" i="1"/>
  <c r="J70" i="1"/>
  <c r="J77" i="1"/>
  <c r="J74" i="1"/>
  <c r="J90" i="1"/>
  <c r="J93" i="1"/>
  <c r="J89" i="1"/>
  <c r="J85" i="1"/>
  <c r="J91" i="1"/>
  <c r="J86" i="1"/>
  <c r="J76" i="1"/>
  <c r="J72" i="1"/>
  <c r="J71" i="1"/>
  <c r="F29" i="1"/>
  <c r="E35" i="20" s="1"/>
  <c r="I35" i="20" s="1"/>
  <c r="E29" i="1"/>
  <c r="F188" i="1"/>
  <c r="H28" i="1"/>
  <c r="F28" i="1" s="1"/>
  <c r="E34" i="20" s="1"/>
  <c r="I34" i="20" s="1"/>
  <c r="E28" i="1"/>
  <c r="E24" i="1"/>
  <c r="H24" i="1"/>
  <c r="F24" i="1" s="1"/>
  <c r="F166" i="1"/>
  <c r="J82" i="1" l="1"/>
  <c r="J67" i="1"/>
  <c r="J69" i="1"/>
  <c r="J81" i="1"/>
  <c r="J78" i="1"/>
  <c r="L90" i="1"/>
  <c r="L77" i="1"/>
  <c r="L91" i="1"/>
  <c r="L93" i="1"/>
  <c r="J79" i="1"/>
  <c r="J68" i="1"/>
  <c r="J92" i="1"/>
  <c r="H139" i="1"/>
  <c r="J80" i="1" l="1"/>
  <c r="J83" i="1"/>
  <c r="J66" i="1"/>
  <c r="I33" i="1" s="1"/>
  <c r="J33" i="1" s="1"/>
  <c r="L60" i="1"/>
  <c r="L136" i="1"/>
  <c r="L122" i="1"/>
  <c r="L116" i="1"/>
  <c r="L119" i="1"/>
  <c r="L102" i="1"/>
  <c r="L99" i="1"/>
  <c r="L101" i="1"/>
  <c r="L134" i="1"/>
  <c r="J133" i="1"/>
  <c r="J134" i="1"/>
  <c r="G20" i="1"/>
  <c r="J60" i="1"/>
  <c r="L120" i="1" l="1"/>
  <c r="H20" i="1"/>
  <c r="L137" i="1"/>
  <c r="L59" i="1"/>
  <c r="L58" i="1"/>
  <c r="K32" i="1" s="1"/>
  <c r="L32" i="1" s="1"/>
  <c r="J99" i="1"/>
  <c r="J122" i="1"/>
  <c r="J97" i="1"/>
  <c r="J137" i="1"/>
  <c r="J119" i="1"/>
  <c r="J116" i="1"/>
  <c r="J121" i="1"/>
  <c r="J136" i="1"/>
  <c r="J100" i="1"/>
  <c r="J98" i="1"/>
  <c r="J102" i="1"/>
  <c r="J120" i="1"/>
  <c r="J101" i="1"/>
  <c r="L121" i="1"/>
  <c r="L105" i="1" s="1"/>
  <c r="K35" i="1" s="1"/>
  <c r="L35" i="1" s="1"/>
  <c r="J58" i="1"/>
  <c r="I32" i="1" s="1"/>
  <c r="J32" i="1" s="1"/>
  <c r="J59" i="1"/>
  <c r="L100" i="1" l="1"/>
  <c r="L72" i="1"/>
  <c r="L88" i="1"/>
  <c r="L78" i="1"/>
  <c r="L79" i="1"/>
  <c r="L98" i="1"/>
  <c r="L71" i="1"/>
  <c r="L80" i="1"/>
  <c r="L81" i="1"/>
  <c r="L92" i="1"/>
  <c r="L75" i="1"/>
  <c r="L73" i="1"/>
  <c r="L82" i="1"/>
  <c r="L68" i="1"/>
  <c r="L86" i="1"/>
  <c r="L74" i="1"/>
  <c r="L70" i="1"/>
  <c r="L85" i="1"/>
  <c r="L87" i="1"/>
  <c r="L76" i="1"/>
  <c r="L133" i="1"/>
  <c r="L132" i="1" s="1"/>
  <c r="K36" i="1" s="1"/>
  <c r="L36" i="1" s="1"/>
  <c r="L83" i="1"/>
  <c r="L69" i="1"/>
  <c r="L67" i="1"/>
  <c r="L89" i="1"/>
  <c r="L97" i="1"/>
  <c r="J96" i="1"/>
  <c r="I34" i="1" s="1"/>
  <c r="J34" i="1" s="1"/>
  <c r="J132" i="1"/>
  <c r="I36" i="1" s="1"/>
  <c r="J36" i="1" s="1"/>
  <c r="J105" i="1"/>
  <c r="I35" i="1" s="1"/>
  <c r="J35" i="1" s="1"/>
  <c r="L96" i="1" l="1"/>
  <c r="K34" i="1" s="1"/>
  <c r="L34" i="1" s="1"/>
  <c r="L66" i="1"/>
  <c r="K33" i="1" s="1"/>
  <c r="L33" i="1" s="1"/>
  <c r="L31" i="1" s="1"/>
  <c r="K5" i="1" s="1"/>
  <c r="L5" i="1" s="1"/>
  <c r="J31" i="1"/>
  <c r="I5" i="1" s="1"/>
  <c r="J5" i="1" s="1"/>
  <c r="H60" i="1"/>
  <c r="E60" i="1"/>
  <c r="J6" i="1" l="1"/>
  <c r="I7" i="20"/>
  <c r="L6" i="1"/>
  <c r="I10" i="20"/>
  <c r="I11" i="20" s="1"/>
  <c r="H59" i="1"/>
  <c r="F59" i="1" s="1"/>
  <c r="F60" i="1"/>
  <c r="H58" i="1"/>
  <c r="AB12" i="1"/>
  <c r="AD12" i="1" s="1"/>
  <c r="L10" i="1"/>
  <c r="AB9" i="1"/>
  <c r="AD9" i="1" s="1"/>
  <c r="L13" i="1"/>
  <c r="F13" i="1" s="1"/>
  <c r="AB11" i="1"/>
  <c r="AD11" i="1" s="1"/>
  <c r="J7" i="1"/>
  <c r="AB8" i="1" s="1"/>
  <c r="AD8" i="1" s="1"/>
  <c r="AB6" i="1"/>
  <c r="AD6" i="1" s="1"/>
  <c r="L12" i="1"/>
  <c r="F12" i="1" s="1"/>
  <c r="E23" i="20" l="1"/>
  <c r="I23" i="20" s="1"/>
  <c r="E18" i="20"/>
  <c r="I18" i="20" s="1"/>
  <c r="E20" i="20" s="1"/>
  <c r="I20" i="20" s="1"/>
  <c r="E8" i="20"/>
  <c r="I8" i="20" s="1"/>
  <c r="I9" i="20" s="1"/>
  <c r="E19" i="20"/>
  <c r="I19" i="20" s="1"/>
  <c r="E91" i="1"/>
  <c r="H91" i="1"/>
  <c r="F91" i="1" s="1"/>
  <c r="L9" i="1"/>
  <c r="F9" i="1" s="1"/>
  <c r="H81" i="1"/>
  <c r="F81" i="1" s="1"/>
  <c r="E81" i="1"/>
  <c r="H70" i="1"/>
  <c r="F70" i="1" s="1"/>
  <c r="E70" i="1"/>
  <c r="H69" i="1"/>
  <c r="F69" i="1" s="1"/>
  <c r="E69" i="1"/>
  <c r="H89" i="1"/>
  <c r="F89" i="1" s="1"/>
  <c r="E89" i="1"/>
  <c r="H75" i="1"/>
  <c r="F75" i="1" s="1"/>
  <c r="E75" i="1"/>
  <c r="H85" i="1"/>
  <c r="F85" i="1" s="1"/>
  <c r="E85" i="1"/>
  <c r="H73" i="1"/>
  <c r="F73" i="1" s="1"/>
  <c r="E73" i="1"/>
  <c r="H67" i="1"/>
  <c r="E67" i="1"/>
  <c r="H88" i="1"/>
  <c r="F88" i="1" s="1"/>
  <c r="E88" i="1"/>
  <c r="H71" i="1"/>
  <c r="F71" i="1" s="1"/>
  <c r="E71" i="1"/>
  <c r="L11" i="1"/>
  <c r="F11" i="1" s="1"/>
  <c r="F10" i="1"/>
  <c r="AB10" i="1"/>
  <c r="AD10" i="1" s="1"/>
  <c r="H86" i="1"/>
  <c r="F86" i="1" s="1"/>
  <c r="E86" i="1"/>
  <c r="H74" i="1"/>
  <c r="F74" i="1" s="1"/>
  <c r="E74" i="1"/>
  <c r="H82" i="1"/>
  <c r="F82" i="1" s="1"/>
  <c r="E82" i="1"/>
  <c r="H90" i="1"/>
  <c r="F90" i="1" s="1"/>
  <c r="E90" i="1"/>
  <c r="E80" i="1"/>
  <c r="H80" i="1"/>
  <c r="F80" i="1" s="1"/>
  <c r="G32" i="1"/>
  <c r="F58" i="1"/>
  <c r="H83" i="1"/>
  <c r="F83" i="1" s="1"/>
  <c r="E83" i="1"/>
  <c r="H72" i="1"/>
  <c r="F72" i="1" s="1"/>
  <c r="E72" i="1"/>
  <c r="H77" i="1"/>
  <c r="F77" i="1" s="1"/>
  <c r="E77" i="1"/>
  <c r="H68" i="1"/>
  <c r="F68" i="1" s="1"/>
  <c r="E68" i="1"/>
  <c r="H79" i="1"/>
  <c r="F79" i="1" s="1"/>
  <c r="E79" i="1"/>
  <c r="H93" i="1"/>
  <c r="F93" i="1" s="1"/>
  <c r="E93" i="1"/>
  <c r="H87" i="1"/>
  <c r="F87" i="1" s="1"/>
  <c r="E87" i="1"/>
  <c r="AB7" i="1"/>
  <c r="AD7" i="1" s="1"/>
  <c r="F7" i="1"/>
  <c r="J4" i="1"/>
  <c r="L140" i="1"/>
  <c r="E140" i="1"/>
  <c r="H78" i="1"/>
  <c r="F78" i="1" s="1"/>
  <c r="E78" i="1"/>
  <c r="L8" i="1"/>
  <c r="F8" i="1" s="1"/>
  <c r="H92" i="1"/>
  <c r="F92" i="1" s="1"/>
  <c r="E92" i="1"/>
  <c r="E76" i="1"/>
  <c r="H76" i="1"/>
  <c r="F76" i="1" s="1"/>
  <c r="E12" i="20" l="1"/>
  <c r="I12" i="20" s="1"/>
  <c r="E15" i="20"/>
  <c r="H84" i="1"/>
  <c r="F84" i="1" s="1"/>
  <c r="E84" i="1"/>
  <c r="E135" i="1"/>
  <c r="H135" i="1"/>
  <c r="F135" i="1" s="1"/>
  <c r="E32" i="1"/>
  <c r="H32" i="1"/>
  <c r="H120" i="1"/>
  <c r="F120" i="1" s="1"/>
  <c r="E120" i="1"/>
  <c r="H99" i="1"/>
  <c r="F99" i="1" s="1"/>
  <c r="E99" i="1"/>
  <c r="H121" i="1"/>
  <c r="F121" i="1" s="1"/>
  <c r="E121" i="1"/>
  <c r="H136" i="1"/>
  <c r="F136" i="1" s="1"/>
  <c r="E136" i="1"/>
  <c r="H133" i="1"/>
  <c r="E133" i="1"/>
  <c r="H101" i="1"/>
  <c r="F101" i="1" s="1"/>
  <c r="E101" i="1"/>
  <c r="H122" i="1"/>
  <c r="F122" i="1" s="1"/>
  <c r="E122" i="1"/>
  <c r="E119" i="1"/>
  <c r="H119" i="1"/>
  <c r="F119" i="1" s="1"/>
  <c r="H100" i="1"/>
  <c r="F100" i="1" s="1"/>
  <c r="E100" i="1"/>
  <c r="H66" i="1"/>
  <c r="F67" i="1"/>
  <c r="L139" i="1"/>
  <c r="F140" i="1"/>
  <c r="E134" i="1"/>
  <c r="H134" i="1"/>
  <c r="F134" i="1" s="1"/>
  <c r="H98" i="1"/>
  <c r="F98" i="1" s="1"/>
  <c r="E98" i="1"/>
  <c r="H102" i="1"/>
  <c r="F102" i="1" s="1"/>
  <c r="E102" i="1"/>
  <c r="E116" i="1"/>
  <c r="H116" i="1"/>
  <c r="H97" i="1"/>
  <c r="E97" i="1"/>
  <c r="H137" i="1"/>
  <c r="F137" i="1" s="1"/>
  <c r="E137" i="1"/>
  <c r="L15" i="20" l="1"/>
  <c r="I15" i="20"/>
  <c r="K20" i="1"/>
  <c r="F139" i="1"/>
  <c r="F116" i="1"/>
  <c r="H105" i="1"/>
  <c r="F97" i="1"/>
  <c r="H96" i="1"/>
  <c r="F133" i="1"/>
  <c r="H132" i="1"/>
  <c r="F66" i="1"/>
  <c r="G33" i="1"/>
  <c r="F32" i="1"/>
  <c r="F96" i="1" l="1"/>
  <c r="G34" i="1"/>
  <c r="E33" i="1"/>
  <c r="H33" i="1"/>
  <c r="G35" i="1"/>
  <c r="F105" i="1"/>
  <c r="G36" i="1"/>
  <c r="F132" i="1"/>
  <c r="L20" i="1"/>
  <c r="F20" i="1" s="1"/>
  <c r="E24" i="20" s="1"/>
  <c r="I24" i="20" s="1"/>
  <c r="E20" i="1"/>
  <c r="E36" i="1" l="1"/>
  <c r="H36" i="1"/>
  <c r="F36" i="1" s="1"/>
  <c r="E35" i="1"/>
  <c r="H35" i="1"/>
  <c r="F35" i="1" s="1"/>
  <c r="E34" i="1"/>
  <c r="H34" i="1"/>
  <c r="F34" i="1" s="1"/>
  <c r="F33" i="1"/>
  <c r="H31" i="1" l="1"/>
  <c r="G5" i="1" l="1"/>
  <c r="F31" i="1"/>
  <c r="H5" i="1" l="1"/>
  <c r="I4" i="20" s="1"/>
  <c r="E5" i="1"/>
  <c r="I6" i="20" l="1"/>
  <c r="E17" i="20"/>
  <c r="I17" i="20" s="1"/>
  <c r="E21" i="20"/>
  <c r="I21" i="20" s="1"/>
  <c r="E22" i="20"/>
  <c r="I22" i="20" s="1"/>
  <c r="H6" i="1"/>
  <c r="AB5" i="1"/>
  <c r="AD5" i="1" s="1"/>
  <c r="H4" i="1"/>
  <c r="F5" i="1"/>
  <c r="I14" i="20" l="1"/>
  <c r="E13" i="20"/>
  <c r="I13" i="20" s="1"/>
  <c r="E16" i="20"/>
  <c r="AB13" i="1"/>
  <c r="AD13" i="1" s="1"/>
  <c r="L19" i="1"/>
  <c r="F19" i="1" s="1"/>
  <c r="AB17" i="1"/>
  <c r="AD17" i="1" s="1"/>
  <c r="AB14" i="1"/>
  <c r="AD14" i="1" s="1"/>
  <c r="L17" i="1"/>
  <c r="F17" i="1" s="1"/>
  <c r="AB16" i="1"/>
  <c r="AD16" i="1" s="1"/>
  <c r="L14" i="1"/>
  <c r="F14" i="1" s="1"/>
  <c r="L18" i="1"/>
  <c r="F18" i="1" s="1"/>
  <c r="L16" i="1"/>
  <c r="F16" i="1" s="1"/>
  <c r="F6" i="1"/>
  <c r="AB18" i="1"/>
  <c r="AD18" i="1" s="1"/>
  <c r="L15" i="1"/>
  <c r="AB15" i="1"/>
  <c r="AD15" i="1" s="1"/>
  <c r="L16" i="20" l="1"/>
  <c r="I16" i="20"/>
  <c r="I25" i="20" s="1"/>
  <c r="I26" i="20" s="1"/>
  <c r="F15" i="1"/>
  <c r="AB20" i="1"/>
  <c r="AD20" i="1" s="1"/>
  <c r="L21" i="1"/>
  <c r="F21" i="1" s="1"/>
  <c r="F22" i="1" l="1"/>
  <c r="E27" i="20"/>
  <c r="I27" i="20" s="1"/>
  <c r="E28" i="20" s="1"/>
  <c r="AB21" i="1"/>
  <c r="AD21" i="1" s="1"/>
  <c r="E29" i="20" l="1"/>
  <c r="I29" i="20" s="1"/>
  <c r="E31" i="20" s="1"/>
  <c r="I31" i="20" s="1"/>
  <c r="L28" i="20"/>
  <c r="L23" i="1"/>
  <c r="AB22" i="1"/>
  <c r="AD22" i="1" s="1"/>
  <c r="E32" i="20" l="1"/>
  <c r="I32" i="20" s="1"/>
  <c r="AB24" i="1"/>
  <c r="AD24" i="1" s="1"/>
  <c r="L25" i="1"/>
  <c r="F23" i="1"/>
  <c r="E33" i="20" l="1"/>
  <c r="I33" i="20" s="1"/>
  <c r="E36" i="20" s="1"/>
  <c r="I36" i="20" s="1"/>
  <c r="AB25" i="1"/>
  <c r="AD25" i="1" s="1"/>
  <c r="F25" i="1"/>
  <c r="L26" i="1"/>
  <c r="L27" i="1" s="1"/>
  <c r="F27" i="1" l="1"/>
  <c r="AB29" i="1"/>
  <c r="AD29" i="1" s="1"/>
  <c r="L30" i="1"/>
  <c r="F30" i="1" s="1"/>
  <c r="AB26" i="1"/>
  <c r="AD26" i="1" s="1"/>
  <c r="F26" i="1"/>
  <c r="L4" i="1"/>
  <c r="F4" i="1" s="1"/>
</calcChain>
</file>

<file path=xl/sharedStrings.xml><?xml version="1.0" encoding="utf-8"?>
<sst xmlns="http://schemas.openxmlformats.org/spreadsheetml/2006/main" count="2181" uniqueCount="920">
  <si>
    <t xml:space="preserve">HPN3                                                                                                </t>
  </si>
  <si>
    <t>SWRJ0170</t>
  </si>
  <si>
    <t>MZTAA2190</t>
  </si>
  <si>
    <t>MST0040</t>
  </si>
  <si>
    <t>(재료+직노)*1.85*1.2</t>
  </si>
  <si>
    <t>ZZB110100000</t>
  </si>
  <si>
    <t>가정/24161197/</t>
  </si>
  <si>
    <t>MZTAA0130</t>
  </si>
  <si>
    <t>휘발유</t>
  </si>
  <si>
    <t>QEQTY2</t>
  </si>
  <si>
    <t>(SANG + JUNG + KWAN)*10^-4</t>
  </si>
  <si>
    <t>No.42</t>
  </si>
  <si>
    <t>Φ250, 2종</t>
  </si>
  <si>
    <t>부직포</t>
  </si>
  <si>
    <t xml:space="preserve">   04. 시설공</t>
  </si>
  <si>
    <t xml:space="preserve">EQ = ( MA(20) + LA(20) + (ma(250)/1.1)) * 1.85/100_x000D_
</t>
  </si>
  <si>
    <t>SWRJ0130</t>
  </si>
  <si>
    <t>290</t>
  </si>
  <si>
    <t>MZTAA0170</t>
  </si>
  <si>
    <t xml:space="preserve">병렬터널할증                            </t>
  </si>
  <si>
    <t xml:space="preserve">   등의자</t>
  </si>
  <si>
    <t>적용단위</t>
  </si>
  <si>
    <t xml:space="preserve">   공사안전난간</t>
  </si>
  <si>
    <t>04. 시설공</t>
  </si>
  <si>
    <t>SWRJ7010</t>
  </si>
  <si>
    <t xml:space="preserve">   조합놀이대</t>
  </si>
  <si>
    <t xml:space="preserve">   그네철거</t>
  </si>
  <si>
    <t>250</t>
  </si>
  <si>
    <t>F-FUZZD000100000</t>
  </si>
  <si>
    <t>MZTAA7050</t>
  </si>
  <si>
    <t xml:space="preserve">동시굴착 범위 (복선)                    </t>
  </si>
  <si>
    <t xml:space="preserve">   연  금  보  험  료</t>
  </si>
  <si>
    <t xml:space="preserve">   간  접  노  무  비</t>
  </si>
  <si>
    <t>3650x1500</t>
  </si>
  <si>
    <t>노임계금액소숫점</t>
  </si>
  <si>
    <t>No.27</t>
  </si>
  <si>
    <t>이중벽관</t>
  </si>
  <si>
    <t>No.29</t>
  </si>
  <si>
    <t xml:space="preserve">EQ = EQ(60) * 12.95/100_x000D_
</t>
  </si>
  <si>
    <t>QEINC2</t>
  </si>
  <si>
    <t>210</t>
  </si>
  <si>
    <t xml:space="preserve">장대터널할증                            </t>
  </si>
  <si>
    <t xml:space="preserve">CPI                                                                                                 </t>
  </si>
  <si>
    <t>LA</t>
  </si>
  <si>
    <t xml:space="preserve">   야외운동기구F</t>
  </si>
  <si>
    <t>MZTAA2200</t>
  </si>
  <si>
    <t>140</t>
  </si>
  <si>
    <t>경    비</t>
  </si>
  <si>
    <t xml:space="preserve">작업능률저하                            </t>
  </si>
  <si>
    <t>통석1-1</t>
  </si>
  <si>
    <t>No.23</t>
  </si>
  <si>
    <t>시간당노임산출계수(해상장비:버켓준설선)</t>
  </si>
  <si>
    <t xml:space="preserve">GBO2                                                                                                </t>
  </si>
  <si>
    <t>가정/24273362/</t>
  </si>
  <si>
    <t xml:space="preserve">   농구대철거</t>
  </si>
  <si>
    <t>노임금액소숫점</t>
  </si>
  <si>
    <t>총원가의 10%</t>
  </si>
  <si>
    <t>MWZA0060</t>
  </si>
  <si>
    <t>05. 포장공</t>
  </si>
  <si>
    <t xml:space="preserve">   야외운동기구B</t>
  </si>
  <si>
    <t xml:space="preserve">   총    공   사   비</t>
  </si>
  <si>
    <t>ZZB700100000</t>
  </si>
  <si>
    <t>거가/49/</t>
  </si>
  <si>
    <t>노임단가소숫점</t>
  </si>
  <si>
    <t xml:space="preserve">EQ = EQ(210) * 10/100_x000D_
</t>
  </si>
  <si>
    <t>100</t>
  </si>
  <si>
    <t>No.63</t>
  </si>
  <si>
    <t xml:space="preserve">EQ = ( LA(20) + LA(30) ) * 1.01/100_x000D_
</t>
  </si>
  <si>
    <t>90</t>
  </si>
  <si>
    <t>QLINCZ</t>
  </si>
  <si>
    <t>QH21</t>
  </si>
  <si>
    <t>가정/24466141/</t>
  </si>
  <si>
    <t>직선, 180x200x1000</t>
  </si>
  <si>
    <t>카멜펜스</t>
  </si>
  <si>
    <t>MWZA0020</t>
  </si>
  <si>
    <t>순공사원가의 6%</t>
  </si>
  <si>
    <t>직선, 180x200x1000</t>
  </si>
  <si>
    <t>변 수 명</t>
  </si>
  <si>
    <t>야외운동기구B</t>
  </si>
  <si>
    <t>굴살기(0.7㎥용)</t>
  </si>
  <si>
    <t xml:space="preserve">   총      원      가</t>
  </si>
  <si>
    <t>SWRJ0260</t>
  </si>
  <si>
    <t>ZZB300100000</t>
  </si>
  <si>
    <t xml:space="preserve">   05. 포장공</t>
  </si>
  <si>
    <t xml:space="preserve">SPN3                                                                                                </t>
  </si>
  <si>
    <t>통석3-1</t>
  </si>
  <si>
    <t>SWRJ3040</t>
  </si>
  <si>
    <t>50</t>
  </si>
  <si>
    <t>6.0x0.9m</t>
  </si>
  <si>
    <t>QUS2WON3</t>
  </si>
  <si>
    <t>No.46</t>
  </si>
  <si>
    <t>빗물받이B</t>
  </si>
  <si>
    <t xml:space="preserve">A33                                                                                                 </t>
  </si>
  <si>
    <t xml:space="preserve">LA+ = </t>
  </si>
  <si>
    <t>No.48</t>
  </si>
  <si>
    <t>1200x700</t>
  </si>
  <si>
    <t>SWRJ0220</t>
  </si>
  <si>
    <t>야외운동기구F</t>
  </si>
  <si>
    <t>M-BS-003</t>
  </si>
  <si>
    <t xml:space="preserve">   연식파고라</t>
  </si>
  <si>
    <t>180</t>
  </si>
  <si>
    <t>F-FUZZB300100001</t>
  </si>
  <si>
    <t>10</t>
  </si>
  <si>
    <t>견단/온필/</t>
  </si>
  <si>
    <t>QDECLA</t>
  </si>
  <si>
    <t>내역서</t>
  </si>
  <si>
    <t>QYEN2WON</t>
  </si>
  <si>
    <t>(재료+직노+도급자관급)*1.85</t>
  </si>
  <si>
    <t>2294x618x1917</t>
  </si>
  <si>
    <t>레미콘</t>
  </si>
  <si>
    <t>QOPtimeDecOp</t>
  </si>
  <si>
    <t>SSSK0011</t>
  </si>
  <si>
    <t>금 액</t>
  </si>
  <si>
    <t>EQ</t>
  </si>
  <si>
    <t>SA00550</t>
  </si>
  <si>
    <t>그네</t>
  </si>
  <si>
    <t>1:3</t>
  </si>
  <si>
    <t>MU-0020</t>
  </si>
  <si>
    <t>03. 우수공</t>
  </si>
  <si>
    <t>QOPtimeDecCnt</t>
  </si>
  <si>
    <t>No.25</t>
  </si>
  <si>
    <t xml:space="preserve">   ..사토운반(15km)</t>
  </si>
  <si>
    <t xml:space="preserve">   블록포장철거</t>
  </si>
  <si>
    <t>평의자</t>
  </si>
  <si>
    <t xml:space="preserve">   계단</t>
  </si>
  <si>
    <t>25-21-12</t>
  </si>
  <si>
    <t>A12</t>
  </si>
  <si>
    <t>D200</t>
  </si>
  <si>
    <t xml:space="preserve">   흔들놀이대A</t>
  </si>
  <si>
    <t>공 종 명</t>
  </si>
  <si>
    <t>고재</t>
  </si>
  <si>
    <t xml:space="preserve">   03. 우수공</t>
  </si>
  <si>
    <t xml:space="preserve">   등의자철거</t>
  </si>
  <si>
    <t>노임할증계수(터널구간:야간)</t>
  </si>
  <si>
    <t>QECU2WON</t>
  </si>
  <si>
    <t>ea</t>
  </si>
  <si>
    <t xml:space="preserve">kg    </t>
  </si>
  <si>
    <t>노임할증계수(장대터널:주야간)</t>
  </si>
  <si>
    <t>몰탈</t>
  </si>
  <si>
    <t xml:space="preserve">JS                                                                                                  </t>
  </si>
  <si>
    <t>채널간판</t>
  </si>
  <si>
    <t>No.40</t>
  </si>
  <si>
    <t>물자/33(하)/물자2 P33</t>
  </si>
  <si>
    <t>연결핀</t>
  </si>
  <si>
    <t>MZSSD0120</t>
  </si>
  <si>
    <t>경비계금액소숫점</t>
  </si>
  <si>
    <t xml:space="preserve">   값   </t>
  </si>
  <si>
    <t xml:space="preserve">   노인장기요양보험료</t>
  </si>
  <si>
    <t>가정/24807059/</t>
  </si>
  <si>
    <t>M-BS-001</t>
  </si>
  <si>
    <t xml:space="preserve">   기   타    경   비</t>
  </si>
  <si>
    <t xml:space="preserve">EQ = ( MA(20) + LA(20) + LA(30) + EQ(20) + EQ(40) + EQ(50) + EQ(60) + EQ(70) + EQ(80) + EQ(90) + EQ(110) + EQ(120) + EQ(130) + EQ(140)+ EQ(150)+ EQ(160) ) * 6/100_x000D_
</t>
  </si>
  <si>
    <t>소철선</t>
  </si>
  <si>
    <t>M9342003</t>
  </si>
  <si>
    <t>MZTAA0070</t>
  </si>
  <si>
    <t>QDECEQ</t>
  </si>
  <si>
    <t>주</t>
  </si>
  <si>
    <t xml:space="preserve">   측구수로관</t>
  </si>
  <si>
    <t>2146x600x1917</t>
  </si>
  <si>
    <t xml:space="preserve">ZT00010                                                                                             </t>
  </si>
  <si>
    <t>SWRJ0030</t>
  </si>
  <si>
    <t>F-FUZZF000100000</t>
  </si>
  <si>
    <t>D150</t>
  </si>
  <si>
    <t>5100x1300x2390</t>
  </si>
  <si>
    <t xml:space="preserve">   철재화단휀스철거</t>
  </si>
  <si>
    <t>직접노무비의 2.3%</t>
  </si>
  <si>
    <t xml:space="preserve">   건  강  보  험  료</t>
  </si>
  <si>
    <t xml:space="preserve">   고  용  보  험  료</t>
  </si>
  <si>
    <t>MZTAA0030</t>
  </si>
  <si>
    <t>QUS2WON1</t>
  </si>
  <si>
    <t>No.44</t>
  </si>
  <si>
    <t>가정/24273350/</t>
  </si>
  <si>
    <t xml:space="preserve">   공원안내판</t>
  </si>
  <si>
    <t>SWRJ0070</t>
  </si>
  <si>
    <t>중기야간경비산출계수</t>
  </si>
  <si>
    <t>녹지경계석</t>
  </si>
  <si>
    <t>보조기층용</t>
  </si>
  <si>
    <t>No.61</t>
  </si>
  <si>
    <t xml:space="preserve">eq=ma(10,0,30)*0.54/100+544_x000D_
</t>
  </si>
  <si>
    <t xml:space="preserve">EQ = ( LA(20) + LA(30) + EQ(20) + EQ(40) + EQ(50) + EQ(60) + EQ(70) + EQ(80) + EQ(90) + EQ(110) + EQ(120) + EQ(130) + EQ(140)+ EQ(150) + EQ(160) + EQ(170) ) * 13/100-(206165/1.1)-(5292/1.1)_x000D_
</t>
  </si>
  <si>
    <t xml:space="preserve">   산업안전보건관리비</t>
  </si>
  <si>
    <t>단 가</t>
  </si>
  <si>
    <t>4000x4000</t>
  </si>
  <si>
    <t xml:space="preserve">EQ = ( MA(20) + LA(20) ) * 1.85/100 * 1.2_x000D_
</t>
  </si>
  <si>
    <t>QLINCX</t>
  </si>
  <si>
    <t>비    고</t>
  </si>
  <si>
    <t>2432x761x2077</t>
  </si>
  <si>
    <t>S</t>
  </si>
  <si>
    <t>No.21</t>
  </si>
  <si>
    <t>물자/226/</t>
  </si>
  <si>
    <t xml:space="preserve">H-형강손료                              </t>
  </si>
  <si>
    <t>노임할증계수(해상장비:주간)</t>
  </si>
  <si>
    <t xml:space="preserve">   직  접  공  사  비</t>
  </si>
  <si>
    <t>가정/23582344/</t>
  </si>
  <si>
    <t>MZTAA0120</t>
  </si>
  <si>
    <t>F-FUZZB130200000</t>
  </si>
  <si>
    <t xml:space="preserve">잭손율(24개월받침철물적용)              </t>
  </si>
  <si>
    <t>농구대</t>
  </si>
  <si>
    <t>SWRJ5020</t>
  </si>
  <si>
    <t>MZTAA0120</t>
  </si>
  <si>
    <t xml:space="preserve">EQ = LA(20) * 4.5/100_x000D_
</t>
  </si>
  <si>
    <t>SWRJ0160</t>
  </si>
  <si>
    <t>가정/24100402/</t>
  </si>
  <si>
    <t>MZTAA2180</t>
  </si>
  <si>
    <t>QLINCB</t>
  </si>
  <si>
    <t xml:space="preserve">하반할증                                </t>
  </si>
  <si>
    <t>QDM2WON</t>
  </si>
  <si>
    <t>F-FUZZB400100000</t>
  </si>
  <si>
    <t>노임할증계수(터널구간:주간)</t>
  </si>
  <si>
    <t>비 고</t>
  </si>
  <si>
    <t>#.1</t>
  </si>
  <si>
    <t>No.52</t>
  </si>
  <si>
    <t xml:space="preserve">   고   재   처   리</t>
  </si>
  <si>
    <t xml:space="preserve">   산  재  보  험  료</t>
  </si>
  <si>
    <t>410x510xH750</t>
  </si>
  <si>
    <t xml:space="preserve">   금연안내판이설</t>
  </si>
  <si>
    <t>280</t>
  </si>
  <si>
    <t>SWRJ7025</t>
  </si>
  <si>
    <t>SWRJ5060</t>
  </si>
  <si>
    <t>MZTAA0160</t>
  </si>
  <si>
    <t xml:space="preserve">BS02                                                                                                </t>
  </si>
  <si>
    <t>W150</t>
  </si>
  <si>
    <t>SWRJ0120</t>
  </si>
  <si>
    <t xml:space="preserve">로드헤드운전원                          </t>
  </si>
  <si>
    <t xml:space="preserve">   녹지경계석</t>
  </si>
  <si>
    <t>파고라</t>
  </si>
  <si>
    <t>환율(사용자 환율1)</t>
  </si>
  <si>
    <t>240</t>
  </si>
  <si>
    <t>직접재료비,직접노무비,경비의 0.3%</t>
  </si>
  <si>
    <t>MZTAA7040</t>
  </si>
  <si>
    <t>공원안내판</t>
  </si>
  <si>
    <t>건강보험료의 12.95%</t>
  </si>
  <si>
    <t>직접노무비의 3.545%</t>
  </si>
  <si>
    <t>No.37</t>
  </si>
  <si>
    <t>내수합판</t>
  </si>
  <si>
    <t>QDATE</t>
  </si>
  <si>
    <t>200</t>
  </si>
  <si>
    <t>시간당노임산출계수(터널구간)</t>
  </si>
  <si>
    <t>측구수로관</t>
  </si>
  <si>
    <t>07. 고재</t>
  </si>
  <si>
    <t>No.39</t>
  </si>
  <si>
    <t>1225x934x2255</t>
  </si>
  <si>
    <t>SWRJ7040</t>
  </si>
  <si>
    <t>MA</t>
  </si>
  <si>
    <t>1800x450</t>
  </si>
  <si>
    <t>재료비할증계수(주야간)</t>
  </si>
  <si>
    <t>150</t>
  </si>
  <si>
    <t xml:space="preserve">4공구 장대할증                          </t>
  </si>
  <si>
    <t>MZTAA2210</t>
  </si>
  <si>
    <t xml:space="preserve">EQ+ = </t>
  </si>
  <si>
    <t>25</t>
  </si>
  <si>
    <t>할 증</t>
  </si>
  <si>
    <t>MWZA0070</t>
  </si>
  <si>
    <t xml:space="preserve">PHH1                                                                                                </t>
  </si>
  <si>
    <t>No.33</t>
  </si>
  <si>
    <t xml:space="preserve">인                                                                                                  </t>
  </si>
  <si>
    <t xml:space="preserve">   파고라철거</t>
  </si>
  <si>
    <t>110</t>
  </si>
  <si>
    <t>문자</t>
  </si>
  <si>
    <t xml:space="preserve">   야외운동기구C</t>
  </si>
  <si>
    <t xml:space="preserve">어스앵커 공수                           </t>
  </si>
  <si>
    <t>D13</t>
  </si>
  <si>
    <t xml:space="preserve">   관급자관급자재대</t>
  </si>
  <si>
    <t>F-FUZZB800100000</t>
  </si>
  <si>
    <t>QH31</t>
  </si>
  <si>
    <t>OP값</t>
  </si>
  <si>
    <t>80</t>
  </si>
  <si>
    <t xml:space="preserve">   시소</t>
  </si>
  <si>
    <t>노임할증계수(해상장비:야간)</t>
  </si>
  <si>
    <t>재료비,노무비의 5.5%</t>
  </si>
  <si>
    <t>80</t>
  </si>
  <si>
    <t>T60</t>
  </si>
  <si>
    <t>QLINCF</t>
  </si>
  <si>
    <t>산소</t>
  </si>
  <si>
    <t>98% (용접용) 1kg=853ℓ</t>
  </si>
  <si>
    <t>스틸그레이팅</t>
  </si>
  <si>
    <t xml:space="preserve">JANG_S                                                                                              </t>
  </si>
  <si>
    <t>T60</t>
  </si>
  <si>
    <t>가정/22692743/</t>
  </si>
  <si>
    <t>야외운동기구C</t>
  </si>
  <si>
    <t>가정/25018102/</t>
  </si>
  <si>
    <t>■ 범계어린이공원 조성공사</t>
  </si>
  <si>
    <t>1200x750</t>
  </si>
  <si>
    <t>SWRJ0270</t>
  </si>
  <si>
    <t>중기주야간할증계수</t>
  </si>
  <si>
    <t>No.56</t>
  </si>
  <si>
    <t xml:space="preserve">   공   급   가   액</t>
  </si>
  <si>
    <t xml:space="preserve">   음수대</t>
  </si>
  <si>
    <t>MZTAA3010</t>
  </si>
  <si>
    <t>ZZB200100000</t>
  </si>
  <si>
    <t>SWRJ3050</t>
  </si>
  <si>
    <t>40</t>
  </si>
  <si>
    <t>QMINC3</t>
  </si>
  <si>
    <t>190</t>
  </si>
  <si>
    <t>MST0014</t>
  </si>
  <si>
    <t>단위</t>
  </si>
  <si>
    <t>직접노무비의 14.3%</t>
  </si>
  <si>
    <t>No.58</t>
  </si>
  <si>
    <t>흔들놀이대B</t>
  </si>
  <si>
    <t>F-FU*</t>
  </si>
  <si>
    <t xml:space="preserve">   이              윤</t>
  </si>
  <si>
    <t>SWRJ0230</t>
  </si>
  <si>
    <t>QH1</t>
  </si>
  <si>
    <t>M95050017111</t>
  </si>
  <si>
    <t>QDECMA</t>
  </si>
  <si>
    <t xml:space="preserve">   안내판철거</t>
  </si>
  <si>
    <t>규    격</t>
  </si>
  <si>
    <t>거가/1453/</t>
  </si>
  <si>
    <t>SWRJ3010</t>
  </si>
  <si>
    <t xml:space="preserve">   트랠리스B철거</t>
  </si>
  <si>
    <t>MWZA0055</t>
  </si>
  <si>
    <t>1600x500x520</t>
  </si>
  <si>
    <t xml:space="preserve">   야외운동기구B철거</t>
  </si>
  <si>
    <t>가정/24462743/</t>
  </si>
  <si>
    <t xml:space="preserve">볼트손율(24개월조임철물적용)            </t>
  </si>
  <si>
    <t xml:space="preserve">   모래포장</t>
  </si>
  <si>
    <t>가정/25204322/</t>
  </si>
  <si>
    <t>연식파고라</t>
  </si>
  <si>
    <t>500x500xD80</t>
  </si>
  <si>
    <t>MU-0030</t>
  </si>
  <si>
    <t>ZZB140100000</t>
  </si>
  <si>
    <t xml:space="preserve">LA = </t>
  </si>
  <si>
    <t>500x500xD80</t>
  </si>
  <si>
    <t xml:space="preserve">   빗물받이B</t>
  </si>
  <si>
    <t>유공관</t>
  </si>
  <si>
    <t>QSABUN</t>
  </si>
  <si>
    <t>No.35</t>
  </si>
  <si>
    <t>노 무 비</t>
  </si>
  <si>
    <t xml:space="preserve">   </t>
  </si>
  <si>
    <t xml:space="preserve">S-파일손료                              </t>
  </si>
  <si>
    <t>가정/23274297/</t>
  </si>
  <si>
    <t>H450</t>
  </si>
  <si>
    <t xml:space="preserve">EQ = ( MA(20) + LA(20) + LA(30) ) * 5.5/100_x000D_
</t>
  </si>
  <si>
    <t>Φ150</t>
  </si>
  <si>
    <t xml:space="preserve">m     </t>
  </si>
  <si>
    <t>A02</t>
  </si>
  <si>
    <t>(토  사):굴삭기적사</t>
  </si>
  <si>
    <t>시간당노임산출계수(해상장비:펌프준설선)</t>
  </si>
  <si>
    <t>환율(장비가격10만불이하)</t>
  </si>
  <si>
    <t>직접노무비의 4.5%</t>
  </si>
  <si>
    <t>D250</t>
  </si>
  <si>
    <t>14254x8267x5863</t>
  </si>
  <si>
    <t xml:space="preserve">   ..현수막</t>
  </si>
  <si>
    <t>W300</t>
  </si>
  <si>
    <t>No.50</t>
  </si>
  <si>
    <t>2045x590x1917</t>
  </si>
  <si>
    <t xml:space="preserve">협의율                                  </t>
  </si>
  <si>
    <t>환율(유로화)</t>
  </si>
  <si>
    <t>MST0016</t>
  </si>
  <si>
    <t>ZZA000200000</t>
  </si>
  <si>
    <t>A06</t>
  </si>
  <si>
    <t xml:space="preserve">A11                                                                                                 </t>
  </si>
  <si>
    <t>F-FUZZC000100000</t>
  </si>
  <si>
    <t>F-FUZZB120100000</t>
  </si>
  <si>
    <t>0.9x1.8m</t>
  </si>
  <si>
    <t>규 격</t>
  </si>
  <si>
    <t>SWRJ0020</t>
  </si>
  <si>
    <t>MZTAA0085</t>
  </si>
  <si>
    <t>H1.5xW1.8</t>
  </si>
  <si>
    <t>M95050017113</t>
  </si>
  <si>
    <t>68300067001</t>
  </si>
  <si>
    <t xml:space="preserve">   채널간판</t>
  </si>
  <si>
    <t>MZTAA0060</t>
  </si>
  <si>
    <t>QLINCD</t>
  </si>
  <si>
    <t>자재</t>
  </si>
  <si>
    <t xml:space="preserve">%                                                                                                   </t>
  </si>
  <si>
    <t xml:space="preserve">GB01                                                                                                </t>
  </si>
  <si>
    <t>가정/23662150/</t>
  </si>
  <si>
    <t>No.54</t>
  </si>
  <si>
    <t>SWRJ0060</t>
  </si>
  <si>
    <t xml:space="preserve">병렬굴착 범위 (단선)                    </t>
  </si>
  <si>
    <t>MZTAA0020</t>
  </si>
  <si>
    <t>QSDR2WON</t>
  </si>
  <si>
    <t>조합놀이대</t>
  </si>
  <si>
    <t>거가/498/</t>
  </si>
  <si>
    <t xml:space="preserve">A21                                                                                                 </t>
  </si>
  <si>
    <t>A08</t>
  </si>
  <si>
    <t xml:space="preserve">   야외운동기구F철거</t>
  </si>
  <si>
    <t xml:space="preserve">   조달수수료</t>
  </si>
  <si>
    <t xml:space="preserve">BS01                                                                                                </t>
  </si>
  <si>
    <t>MZTAA0020</t>
  </si>
  <si>
    <t>200x300x1,000,직선</t>
  </si>
  <si>
    <t>29</t>
  </si>
  <si>
    <t>QH33</t>
  </si>
  <si>
    <t xml:space="preserve">   흔들놀이대철거</t>
  </si>
  <si>
    <t>200g/㎡</t>
  </si>
  <si>
    <t xml:space="preserve">   음수전철거</t>
  </si>
  <si>
    <t xml:space="preserve">   야외운동기구D철거</t>
  </si>
  <si>
    <t xml:space="preserve">3시간,휴전할증                          </t>
  </si>
  <si>
    <t>QLINC2</t>
  </si>
  <si>
    <t xml:space="preserve">   마사토포장</t>
  </si>
  <si>
    <t xml:space="preserve">   맹암거(지선)</t>
  </si>
  <si>
    <t xml:space="preserve">   건설하도급대지급보증서발급수수료</t>
  </si>
  <si>
    <t>ZZB130100000</t>
  </si>
  <si>
    <t>7</t>
  </si>
  <si>
    <t>GABC0010</t>
  </si>
  <si>
    <t>27</t>
  </si>
  <si>
    <t xml:space="preserve">ℓ    </t>
  </si>
  <si>
    <t>재료비계금액소숫점</t>
  </si>
  <si>
    <t>No.31</t>
  </si>
  <si>
    <t>MXAB0045</t>
  </si>
  <si>
    <t>No.62</t>
  </si>
  <si>
    <t>T300</t>
  </si>
  <si>
    <t>200C</t>
  </si>
  <si>
    <t>QDECPEQ</t>
  </si>
  <si>
    <t>모래놀이대</t>
  </si>
  <si>
    <t xml:space="preserve">   .1) 잔토운반</t>
  </si>
  <si>
    <t xml:space="preserve">   일  반  관  리  비</t>
  </si>
  <si>
    <t>SWRJ0150</t>
  </si>
  <si>
    <t>H75</t>
  </si>
  <si>
    <t>SWRJ5010</t>
  </si>
  <si>
    <t>MZTAA0110</t>
  </si>
  <si>
    <t>No.22</t>
  </si>
  <si>
    <t>09. 도급자관급자재대</t>
  </si>
  <si>
    <t>QDECCLA</t>
  </si>
  <si>
    <t>물정/107/</t>
  </si>
  <si>
    <t>컨츄리가든블록(표준)</t>
  </si>
  <si>
    <t>노임할증계수(일반구간:주간)</t>
  </si>
  <si>
    <t>SWRJ0110</t>
  </si>
  <si>
    <t>MST0020</t>
  </si>
  <si>
    <t>(SANG + JUNG + int(KWAN/3))*10^-4</t>
  </si>
  <si>
    <t>F-FUZZB700100000</t>
  </si>
  <si>
    <t>SWRJ5050</t>
  </si>
  <si>
    <t>MZTAA0150</t>
  </si>
  <si>
    <t xml:space="preserve">ZT605020                                                                                            </t>
  </si>
  <si>
    <t xml:space="preserve">8시간,휴전할증                          </t>
  </si>
  <si>
    <t>단    가</t>
  </si>
  <si>
    <t>No.49</t>
  </si>
  <si>
    <t xml:space="preserve">   평의자철거</t>
  </si>
  <si>
    <t xml:space="preserve">EQ = </t>
  </si>
  <si>
    <t>SWRJ7030</t>
  </si>
  <si>
    <t>W300x1000</t>
  </si>
  <si>
    <t>M-BS-002</t>
  </si>
  <si>
    <t xml:space="preserve">병    </t>
  </si>
  <si>
    <t>F-FUZZB300100000</t>
  </si>
  <si>
    <t>1646x780x1917</t>
  </si>
  <si>
    <t>1646x780x1917</t>
  </si>
  <si>
    <t>D200(디자인그레이팅)</t>
  </si>
  <si>
    <t>270</t>
  </si>
  <si>
    <t>노무비의 1.01%</t>
  </si>
  <si>
    <t>H150</t>
  </si>
  <si>
    <t>99% 6000ℓ(기체) 40ℓ</t>
  </si>
  <si>
    <t>QUS2WON2</t>
  </si>
  <si>
    <t>시소</t>
  </si>
  <si>
    <t>No.47</t>
  </si>
  <si>
    <t xml:space="preserve">㎡    </t>
  </si>
  <si>
    <t xml:space="preserve">   수목제거</t>
  </si>
  <si>
    <t>노무비,경비,일반관리비의 15%</t>
  </si>
  <si>
    <t>자연사</t>
  </si>
  <si>
    <t>200x300x1,000,곡선</t>
  </si>
  <si>
    <t xml:space="preserve">   통석앉음벽(직선)</t>
  </si>
  <si>
    <t>SWRJ0190</t>
  </si>
  <si>
    <t>230</t>
  </si>
  <si>
    <t>MZTAA7030</t>
  </si>
  <si>
    <t>관급자재</t>
  </si>
  <si>
    <t>H200</t>
  </si>
  <si>
    <t xml:space="preserve">램프터널 병렬터널 항증                  </t>
  </si>
  <si>
    <t xml:space="preserve">   모래막이(곡선)</t>
  </si>
  <si>
    <t xml:space="preserve">   계단철거</t>
  </si>
  <si>
    <t>MWZA0040</t>
  </si>
  <si>
    <t>오일</t>
  </si>
  <si>
    <t xml:space="preserve">   야외운동기구D</t>
  </si>
  <si>
    <t>A11</t>
  </si>
  <si>
    <t>160</t>
  </si>
  <si>
    <t>F-FUZZB110100000</t>
  </si>
  <si>
    <t>No.43</t>
  </si>
  <si>
    <t>수량</t>
  </si>
  <si>
    <t>거가/809/</t>
  </si>
  <si>
    <t>노임할증계수(해상장비:주야간)</t>
  </si>
  <si>
    <t>kg</t>
  </si>
  <si>
    <t xml:space="preserve">   앉음벽철거</t>
  </si>
  <si>
    <t>120</t>
  </si>
  <si>
    <t>m</t>
  </si>
  <si>
    <t>QEQTY3</t>
  </si>
  <si>
    <t>가정/25018118/</t>
  </si>
  <si>
    <t xml:space="preserve">TBL2                                                                                                </t>
  </si>
  <si>
    <t>환율(마르크화)</t>
  </si>
  <si>
    <t>70</t>
  </si>
  <si>
    <t xml:space="preserve">낙찰율                                  </t>
  </si>
  <si>
    <t>SWRJ3060</t>
  </si>
  <si>
    <t>QEINC3</t>
  </si>
  <si>
    <t>No.28</t>
  </si>
  <si>
    <t xml:space="preserve">   평의자</t>
  </si>
  <si>
    <t>200㎜</t>
  </si>
  <si>
    <t>ZZD000100000</t>
  </si>
  <si>
    <t>SWRJ0240</t>
  </si>
  <si>
    <t xml:space="preserve">   모래막이(직선)</t>
  </si>
  <si>
    <t>MZTAA0200</t>
  </si>
  <si>
    <t xml:space="preserve">EQ = ( MA(20) + LA(20) + EQ(20) ) * 0.18/100_x000D_
</t>
  </si>
  <si>
    <t>SWRJ3020</t>
  </si>
  <si>
    <t>30</t>
  </si>
  <si>
    <t>No.26</t>
  </si>
  <si>
    <t>가정/24100404/</t>
  </si>
  <si>
    <t>3000x2850x850</t>
  </si>
  <si>
    <t xml:space="preserve">2Arch터널노임(일방향)                   </t>
  </si>
  <si>
    <t>SWRJ0200</t>
  </si>
  <si>
    <t>야외운동기구D</t>
  </si>
  <si>
    <t>흔들놀이대A</t>
  </si>
  <si>
    <t>T</t>
  </si>
  <si>
    <t>QUS2WON</t>
  </si>
  <si>
    <t xml:space="preserve">   조합놀이대철거</t>
  </si>
  <si>
    <t>No.45</t>
  </si>
  <si>
    <t>개소</t>
  </si>
  <si>
    <t>0.54%</t>
  </si>
  <si>
    <t xml:space="preserve">eq=ma(10,0,190)*0.54/100+758_x000D_
</t>
  </si>
  <si>
    <t>밴드형 연결구</t>
  </si>
  <si>
    <t>M9327003</t>
  </si>
  <si>
    <t>*</t>
  </si>
  <si>
    <t xml:space="preserve">병렬터널 할증 (일방향)                  </t>
  </si>
  <si>
    <t xml:space="preserve">   빗물받이A</t>
  </si>
  <si>
    <t>ZZF000100000</t>
  </si>
  <si>
    <t>H300</t>
  </si>
  <si>
    <t>No.20</t>
  </si>
  <si>
    <t>직접재료비,직접노무비,경비의 0.18%</t>
  </si>
  <si>
    <t>노임할증계수(터널구간:주야간)</t>
  </si>
  <si>
    <t>경비단가소숫점</t>
  </si>
  <si>
    <t>물정/조달청/물자1 P681</t>
  </si>
  <si>
    <t>환율(사용자 환율2)</t>
  </si>
  <si>
    <t>QDECCEQ</t>
  </si>
  <si>
    <t>노임할증계수(장대터널:주간)</t>
  </si>
  <si>
    <t xml:space="preserve">   도   급   공   사   비</t>
  </si>
  <si>
    <t>QCODE</t>
  </si>
  <si>
    <t>T150</t>
  </si>
  <si>
    <t>No.60</t>
  </si>
  <si>
    <t>가정/24504754/</t>
  </si>
  <si>
    <t xml:space="preserve">   인조화강석블록포장</t>
  </si>
  <si>
    <t>180x200x1000</t>
  </si>
  <si>
    <t xml:space="preserve">ton   </t>
  </si>
  <si>
    <t>QDECPLA</t>
  </si>
  <si>
    <t>QLINCY</t>
  </si>
  <si>
    <t>금액계상</t>
  </si>
  <si>
    <t>재 료 비</t>
  </si>
  <si>
    <t xml:space="preserve">EQ = ( MA(20) + LA(20) + EQ(20) ) * 0.3/100_x000D_
</t>
  </si>
  <si>
    <t>경비금액소숫점</t>
  </si>
  <si>
    <t xml:space="preserve">   ..공사안내판</t>
  </si>
  <si>
    <t>3000x1200</t>
  </si>
  <si>
    <t>가정/24.04.16/</t>
  </si>
  <si>
    <t>MZTAA0050</t>
  </si>
  <si>
    <t>시간당노임산출계수(장대터널)</t>
  </si>
  <si>
    <t>No.24</t>
  </si>
  <si>
    <t>직접재료비,직접노무비,경비의 0.081%</t>
  </si>
  <si>
    <t>SWRJ0010</t>
  </si>
  <si>
    <t>3672x404x884</t>
  </si>
  <si>
    <t>MZTAA0010</t>
  </si>
  <si>
    <t>3672x404x884</t>
  </si>
  <si>
    <t>MZTAA0010</t>
  </si>
  <si>
    <t>가정/23582346/</t>
  </si>
  <si>
    <t>명    칭</t>
  </si>
  <si>
    <t xml:space="preserve">A31                                                                                                 </t>
  </si>
  <si>
    <t>SWRJ0050</t>
  </si>
  <si>
    <t xml:space="preserve">   건설기계대여대금지급보증서발급금액</t>
  </si>
  <si>
    <t>등의자</t>
  </si>
  <si>
    <t>MXAB0010</t>
  </si>
  <si>
    <t>MXAB0010</t>
  </si>
  <si>
    <t>02. 철거공</t>
  </si>
  <si>
    <t>마사토</t>
  </si>
  <si>
    <t>M0717003</t>
  </si>
  <si>
    <t>가정/25018101/</t>
  </si>
  <si>
    <t>물자/62/</t>
  </si>
  <si>
    <t>No.41</t>
  </si>
  <si>
    <t xml:space="preserve">   02. 철거공</t>
  </si>
  <si>
    <t>SWRJ0090</t>
  </si>
  <si>
    <t xml:space="preserve">A                                                                                                   </t>
  </si>
  <si>
    <t>중기주야간경비산출계수</t>
  </si>
  <si>
    <t>㎥</t>
  </si>
  <si>
    <t>540x400x1,000,직선</t>
  </si>
  <si>
    <t>노무비의 3.56%</t>
  </si>
  <si>
    <t>QEQTY1</t>
  </si>
  <si>
    <t>화폐변환</t>
  </si>
  <si>
    <t>MZTAA0090</t>
  </si>
  <si>
    <t xml:space="preserve">개소  </t>
  </si>
  <si>
    <t xml:space="preserve">조    </t>
  </si>
  <si>
    <t xml:space="preserve">야간기본노임                            </t>
  </si>
  <si>
    <t xml:space="preserve">MA+ = </t>
  </si>
  <si>
    <t>㎡</t>
  </si>
  <si>
    <t>QVER</t>
  </si>
  <si>
    <t>거가/102/</t>
  </si>
  <si>
    <t>개당/5m사용</t>
  </si>
  <si>
    <t>노임할증계수(장대터널:야간)</t>
  </si>
  <si>
    <t>중기주간경비산출계수</t>
  </si>
  <si>
    <t>전역변수</t>
  </si>
  <si>
    <t xml:space="preserve">EQ = ( LA(20) + LA(30) ) * 3.56/100_x000D_
</t>
  </si>
  <si>
    <t xml:space="preserve">eq=tot(190)+tot(200)_x000D_
</t>
  </si>
  <si>
    <t>MZTAA0100</t>
  </si>
  <si>
    <t>시간당노임산출계수(해상장비:GRAB준설선)</t>
  </si>
  <si>
    <t>SWRJ0140</t>
  </si>
  <si>
    <t xml:space="preserve">   야외운동기구C철거</t>
  </si>
  <si>
    <t xml:space="preserve">   인조화강석블럭</t>
  </si>
  <si>
    <t>형    식</t>
  </si>
  <si>
    <t>No.32</t>
  </si>
  <si>
    <t>ZZB800100000</t>
  </si>
  <si>
    <t>MXAB0046</t>
  </si>
  <si>
    <t>QDECCMA</t>
  </si>
  <si>
    <t xml:space="preserve">   화강석경계석(직선)</t>
  </si>
  <si>
    <t>SWRJ5040</t>
  </si>
  <si>
    <t>MZTAA0140</t>
  </si>
  <si>
    <t>SWRJ0100</t>
  </si>
  <si>
    <t>MST0030</t>
  </si>
  <si>
    <t>QLINC1</t>
  </si>
  <si>
    <t>F-FUZZB200100000</t>
  </si>
  <si>
    <t>인조화강석블럭</t>
  </si>
  <si>
    <t>가정/25170460/</t>
  </si>
  <si>
    <t>M4332041</t>
  </si>
  <si>
    <t xml:space="preserve">본선터널 병렬터널 할증                  </t>
  </si>
  <si>
    <t>A05</t>
  </si>
  <si>
    <t>260</t>
  </si>
  <si>
    <t xml:space="preserve">EQ = MA(20) + LA(20) + LA(30) + EQ(20) + EQ(40) + EQ(50) + EQ(60) + EQ(70) + EQ(80) + EQ(90) + EQ(110) + EQ(120) + EQ(130) + EQ(140)+ EQ(150)+ EQ(160) + EQ(170) + EQ(180)_x000D_
</t>
  </si>
  <si>
    <t>MZTAA0180</t>
  </si>
  <si>
    <t>150㎜</t>
  </si>
  <si>
    <t xml:space="preserve">R                                                                                                   </t>
  </si>
  <si>
    <t>No.59</t>
  </si>
  <si>
    <t>SWRJ7020</t>
  </si>
  <si>
    <t>M0882503</t>
  </si>
  <si>
    <t>No.57</t>
  </si>
  <si>
    <t xml:space="preserve">   화강석경계석(곡선)</t>
  </si>
  <si>
    <t>2350x761x2077</t>
  </si>
  <si>
    <t>MWRD0050</t>
  </si>
  <si>
    <t>QMINC2</t>
  </si>
  <si>
    <t>1255x934x2255</t>
  </si>
  <si>
    <t>식</t>
  </si>
  <si>
    <t>220</t>
  </si>
  <si>
    <t xml:space="preserve">EA    </t>
  </si>
  <si>
    <t xml:space="preserve">   야외운동기구A철거</t>
  </si>
  <si>
    <t>SWRJ0180</t>
  </si>
  <si>
    <t>물자/799/</t>
  </si>
  <si>
    <t>410x510xH750, 침사조+앵글+그레이팅</t>
  </si>
  <si>
    <t>GBABC0020</t>
  </si>
  <si>
    <t>생철B</t>
  </si>
  <si>
    <t>MWZA0050</t>
  </si>
  <si>
    <t xml:space="preserve">   01. 부대공</t>
  </si>
  <si>
    <t>ZZB400100000</t>
  </si>
  <si>
    <t xml:space="preserve">   a. 순공사비</t>
  </si>
  <si>
    <t>중기야간할증계수</t>
  </si>
  <si>
    <t>170</t>
  </si>
  <si>
    <t xml:space="preserve">   안  전  관  리  비</t>
  </si>
  <si>
    <t>고정식</t>
  </si>
  <si>
    <t>환율(엔화)</t>
  </si>
  <si>
    <t>거가/1273/</t>
  </si>
  <si>
    <t>6000x2500x2500</t>
  </si>
  <si>
    <t>420x530x1200</t>
  </si>
  <si>
    <t>6000x2500x2500</t>
  </si>
  <si>
    <t xml:space="preserve">   야외운동기구E</t>
  </si>
  <si>
    <t>ZZB130200000</t>
  </si>
  <si>
    <t>A01</t>
  </si>
  <si>
    <t xml:space="preserve">MA = </t>
  </si>
  <si>
    <t>가정/24429493/</t>
  </si>
  <si>
    <t>MWZA0010</t>
  </si>
  <si>
    <t>No.53</t>
  </si>
  <si>
    <t xml:space="preserve">   경계목철거</t>
  </si>
  <si>
    <t>130</t>
  </si>
  <si>
    <t xml:space="preserve">   야외운동기구A</t>
  </si>
  <si>
    <t>F</t>
  </si>
  <si>
    <t>물자/하47/</t>
  </si>
  <si>
    <t>QLINCC</t>
  </si>
  <si>
    <t xml:space="preserve">PDH4                                                                                                </t>
  </si>
  <si>
    <t>빗물받이A</t>
  </si>
  <si>
    <t>가정/24462744/</t>
  </si>
  <si>
    <t>가정/24273358/</t>
  </si>
  <si>
    <t>재료비단가소숫점</t>
  </si>
  <si>
    <t>85</t>
  </si>
  <si>
    <t xml:space="preserve">JANG_D                                                                                              </t>
  </si>
  <si>
    <t xml:space="preserve">   야외운동기구E철거</t>
  </si>
  <si>
    <t>60</t>
  </si>
  <si>
    <t>718x355x864</t>
  </si>
  <si>
    <t>12×1220×2440㎜ (1급T-I)</t>
  </si>
  <si>
    <t>환율(장비가격10만불이상)</t>
  </si>
  <si>
    <t>통석3-2</t>
  </si>
  <si>
    <t>야외운동기구A</t>
  </si>
  <si>
    <t>No.38</t>
  </si>
  <si>
    <t>SWRJ0250</t>
  </si>
  <si>
    <t>No.36</t>
  </si>
  <si>
    <t xml:space="preserve">LA = LA(20) * 14.3/100_x000D_
</t>
  </si>
  <si>
    <t xml:space="preserve">                                                                                                    </t>
  </si>
  <si>
    <t>SWRJ3030</t>
  </si>
  <si>
    <t>견단/유통/</t>
  </si>
  <si>
    <t>20</t>
  </si>
  <si>
    <t>01. 부대공</t>
  </si>
  <si>
    <t>a. 순공사비</t>
  </si>
  <si>
    <t>20</t>
  </si>
  <si>
    <t xml:space="preserve">   .2) 기타</t>
  </si>
  <si>
    <t>물정/조달청/</t>
  </si>
  <si>
    <t>0</t>
  </si>
  <si>
    <t>SWRJ0210</t>
  </si>
  <si>
    <t>야외운동기구E</t>
  </si>
  <si>
    <t>1528x1254x1917</t>
  </si>
  <si>
    <t>재료비금액소숫점</t>
  </si>
  <si>
    <t>어니일링, 4.0㎜</t>
  </si>
  <si>
    <t>1528x1254x1917</t>
  </si>
  <si>
    <t>No.55</t>
  </si>
  <si>
    <t>가정/25268263/</t>
  </si>
  <si>
    <t>재료비할증계수(야간)</t>
  </si>
  <si>
    <t xml:space="preserve">MA = MA(1,    -1,10) _x000D_
LA = LA(1,    -1,10) _x000D_
EQ = EQ(1,    -1,10) _x000D_
</t>
  </si>
  <si>
    <t>Φ17.5x100</t>
  </si>
  <si>
    <t>1600x580x700</t>
  </si>
  <si>
    <t xml:space="preserve">   맹암거(간선)</t>
  </si>
  <si>
    <t>A001</t>
  </si>
  <si>
    <t>410x510xH520, 침사조+앵글+그레이팅</t>
  </si>
  <si>
    <t>QLINCE</t>
  </si>
  <si>
    <t>환율(IMF특별인출권)</t>
  </si>
  <si>
    <t>ZZC000100000</t>
  </si>
  <si>
    <t>EQ = ( MA(20) + LA(20) + EQ(20) ) * 0.081/100</t>
  </si>
  <si>
    <t>ZZB120100000</t>
  </si>
  <si>
    <t>F-FUZZA000200000</t>
  </si>
  <si>
    <t>A0001</t>
  </si>
  <si>
    <t xml:space="preserve">   시소철거</t>
  </si>
  <si>
    <t xml:space="preserve">   도급자관급자재대</t>
  </si>
  <si>
    <t xml:space="preserve">   PE수로관철거</t>
  </si>
  <si>
    <t>A07</t>
  </si>
  <si>
    <t>중기전역변수</t>
  </si>
  <si>
    <t xml:space="preserve">EQ = LA(20) * 3.545/100_x000D_
</t>
  </si>
  <si>
    <t>각   재</t>
  </si>
  <si>
    <t>QH2</t>
  </si>
  <si>
    <t xml:space="preserve">   퇴 직  공 제 부 금</t>
  </si>
  <si>
    <t>물자/277/</t>
  </si>
  <si>
    <t>음수대</t>
  </si>
  <si>
    <t>No.30</t>
  </si>
  <si>
    <t>물정/58/</t>
  </si>
  <si>
    <t>거가/171/</t>
  </si>
  <si>
    <t xml:space="preserve">ZT605010                                                                                            </t>
  </si>
  <si>
    <t>2735x834x1917</t>
  </si>
  <si>
    <t xml:space="preserve">   흔들놀이대B</t>
  </si>
  <si>
    <t>410x510xH520</t>
  </si>
  <si>
    <t>치즐</t>
  </si>
  <si>
    <t>QLINC3</t>
  </si>
  <si>
    <t>R25이하</t>
  </si>
  <si>
    <t xml:space="preserve">   우수관</t>
  </si>
  <si>
    <t>물정/조달청/물정2 P951</t>
  </si>
  <si>
    <t xml:space="preserve">EQ = tot(230) + tot(240) + tot(250)_x000D_
</t>
  </si>
  <si>
    <t xml:space="preserve">개    </t>
  </si>
  <si>
    <t>외송</t>
  </si>
  <si>
    <t>QDECPMA</t>
  </si>
  <si>
    <t>노임할증계수(일반구간:야간)</t>
  </si>
  <si>
    <t>QH32</t>
  </si>
  <si>
    <t xml:space="preserve">eq=tot(210)+tot(220)_x000D_
</t>
  </si>
  <si>
    <t>이형철근</t>
  </si>
  <si>
    <t>시간당노임산출계수(일반구간)</t>
  </si>
  <si>
    <t>F-FUZZB130100000</t>
  </si>
  <si>
    <t>단 위</t>
  </si>
  <si>
    <t xml:space="preserve">㎏    </t>
  </si>
  <si>
    <t xml:space="preserve">PDH3                                                                                                </t>
  </si>
  <si>
    <t xml:space="preserve">BTR                                                                                                 </t>
  </si>
  <si>
    <t>No.34</t>
  </si>
  <si>
    <t xml:space="preserve">EQ = LA(20) * 2.3/100_x000D_
</t>
  </si>
  <si>
    <t>컨츄리가든블록(캡)</t>
  </si>
  <si>
    <t xml:space="preserve">   트랠리스A철거</t>
  </si>
  <si>
    <t>MZTAA0040</t>
  </si>
  <si>
    <t>100000000001</t>
  </si>
  <si>
    <t xml:space="preserve">   농구대</t>
  </si>
  <si>
    <t>모래</t>
  </si>
  <si>
    <t xml:space="preserve">소비자물가변동율                        </t>
  </si>
  <si>
    <t>2</t>
  </si>
  <si>
    <t xml:space="preserve">   고재</t>
  </si>
  <si>
    <t>거가/239/</t>
  </si>
  <si>
    <t>곡선, 180x200x1000</t>
  </si>
  <si>
    <t>SWRJ0040</t>
  </si>
  <si>
    <t>Φ200</t>
  </si>
  <si>
    <t>노임할증계수(일반구간:주야간)</t>
  </si>
  <si>
    <t xml:space="preserve">   파고라</t>
  </si>
  <si>
    <t xml:space="preserve">   부  가  가  치  세</t>
  </si>
  <si>
    <t>F-FUZZB140100000</t>
  </si>
  <si>
    <t>08. 관급자관급자재대</t>
  </si>
  <si>
    <t>합    계</t>
  </si>
  <si>
    <t xml:space="preserve">㎥    </t>
  </si>
  <si>
    <t>06. 안전관리비</t>
  </si>
  <si>
    <t>SWRJ0080</t>
  </si>
  <si>
    <t>No.51</t>
  </si>
  <si>
    <t xml:space="preserve">   환  경  보  전  비</t>
  </si>
  <si>
    <t>거가/350/</t>
  </si>
  <si>
    <t>에폭시본드</t>
  </si>
  <si>
    <t>잡석(혼합골재)</t>
  </si>
  <si>
    <t>QLINCA</t>
  </si>
  <si>
    <t>가정/23685974/</t>
  </si>
  <si>
    <t>숫자</t>
  </si>
  <si>
    <t>물자/71/</t>
  </si>
  <si>
    <t xml:space="preserve">ea    </t>
  </si>
  <si>
    <t>MZTAA0080</t>
  </si>
  <si>
    <t>아세칠렌</t>
  </si>
  <si>
    <t xml:space="preserve">   그네</t>
  </si>
  <si>
    <t>가정/23662152/</t>
  </si>
  <si>
    <t>8단,W560</t>
  </si>
  <si>
    <t>A03</t>
  </si>
  <si>
    <t xml:space="preserve">3공구 장대할증                          </t>
  </si>
  <si>
    <t xml:space="preserve">   측구수로관철거</t>
  </si>
  <si>
    <t xml:space="preserve">   모래놀이대</t>
  </si>
  <si>
    <t>A03</t>
  </si>
  <si>
    <t/>
  </si>
  <si>
    <t xml:space="preserve"> </t>
    <phoneticPr fontId="6" type="noConversion"/>
  </si>
  <si>
    <t>1. 사업명</t>
    <phoneticPr fontId="12" type="noConversion"/>
  </si>
  <si>
    <t>-</t>
    <phoneticPr fontId="12" type="noConversion"/>
  </si>
  <si>
    <t>2. 사업의 목적</t>
    <phoneticPr fontId="12" type="noConversion"/>
  </si>
  <si>
    <t>-</t>
    <phoneticPr fontId="6" type="noConversion"/>
  </si>
  <si>
    <t>3. 사업의 위치 및 범위</t>
    <phoneticPr fontId="12" type="noConversion"/>
  </si>
  <si>
    <t xml:space="preserve"> </t>
    <phoneticPr fontId="12" type="noConversion"/>
  </si>
  <si>
    <t>1)</t>
    <phoneticPr fontId="12" type="noConversion"/>
  </si>
  <si>
    <t>위치: 경기도 안양시 동안구 호계동 1053-5</t>
    <phoneticPr fontId="12" type="noConversion"/>
  </si>
  <si>
    <t>2)</t>
    <phoneticPr fontId="12" type="noConversion"/>
  </si>
  <si>
    <t>사업년도 : 2024년</t>
    <phoneticPr fontId="12" type="noConversion"/>
  </si>
  <si>
    <t>4. 공 사 기 간</t>
    <phoneticPr fontId="12" type="noConversion"/>
  </si>
  <si>
    <t>본 공사는 착공일로부터 90일로 한다.</t>
    <phoneticPr fontId="12" type="noConversion"/>
  </si>
  <si>
    <t>5. 설계변경조건</t>
    <phoneticPr fontId="12" type="noConversion"/>
  </si>
  <si>
    <t>본 공사는 설계당시 수집된 자료에 의하여 설계한 것인바 조사가 불가능한 부분 및 조사후 변경된 사항에 대해서는 시공시 실정에 맞추어 변경</t>
    <phoneticPr fontId="12" type="noConversion"/>
  </si>
  <si>
    <t xml:space="preserve">2) </t>
    <phoneticPr fontId="12" type="noConversion"/>
  </si>
  <si>
    <t>골재원 및 토취장의 위치 및 운반거리등이 변경될 경우</t>
    <phoneticPr fontId="12" type="noConversion"/>
  </si>
  <si>
    <t xml:space="preserve">3) </t>
    <phoneticPr fontId="12" type="noConversion"/>
  </si>
  <si>
    <t xml:space="preserve">연평균 강우일보다 많은 강우일로 인하여 공사진행에 현저한 지장을 주거나 관급자재의 공급지연으로 공사에 지장을 주었다고 인정될 경우에는 상당하는 </t>
    <phoneticPr fontId="12" type="noConversion"/>
  </si>
  <si>
    <t>기일 만큼 연기 할 수 있다</t>
    <phoneticPr fontId="12" type="noConversion"/>
  </si>
  <si>
    <t>4)</t>
    <phoneticPr fontId="12" type="noConversion"/>
  </si>
  <si>
    <t>공법이 변경될 경우</t>
    <phoneticPr fontId="12" type="noConversion"/>
  </si>
  <si>
    <t>5)</t>
    <phoneticPr fontId="12" type="noConversion"/>
  </si>
  <si>
    <t>천재지변으로 인하여 설계변경이 불가피한 경우</t>
    <phoneticPr fontId="12" type="noConversion"/>
  </si>
  <si>
    <t>6)</t>
    <phoneticPr fontId="12" type="noConversion"/>
  </si>
  <si>
    <t>본 공사 시공중 관의 형편상 설계변경이 불가피한 경우</t>
    <phoneticPr fontId="12" type="noConversion"/>
  </si>
  <si>
    <t>예   정   공   정   표</t>
    <phoneticPr fontId="12" type="noConversion"/>
  </si>
  <si>
    <t>■ 공사명 :</t>
    <phoneticPr fontId="12" type="noConversion"/>
  </si>
  <si>
    <t>공   종</t>
    <phoneticPr fontId="12" type="noConversion"/>
  </si>
  <si>
    <t>공종율</t>
    <phoneticPr fontId="12" type="noConversion"/>
  </si>
  <si>
    <t>공 사 기 간 (90일)</t>
    <phoneticPr fontId="12" type="noConversion"/>
  </si>
  <si>
    <t>비  고</t>
    <phoneticPr fontId="12" type="noConversion"/>
  </si>
  <si>
    <t>공사준비</t>
    <phoneticPr fontId="12" type="noConversion"/>
  </si>
  <si>
    <t>철거공</t>
    <phoneticPr fontId="6" type="noConversion"/>
  </si>
  <si>
    <t>식재공</t>
    <phoneticPr fontId="6" type="noConversion"/>
  </si>
  <si>
    <t>시설물공</t>
    <phoneticPr fontId="6" type="noConversion"/>
  </si>
  <si>
    <t>공사정리</t>
    <phoneticPr fontId="12" type="noConversion"/>
  </si>
  <si>
    <t>계</t>
    <phoneticPr fontId="12" type="noConversion"/>
  </si>
  <si>
    <t>공 사 비 원 가 계 산 서</t>
    <phoneticPr fontId="12" type="noConversion"/>
  </si>
  <si>
    <t>(공사기간 : 90일)</t>
    <phoneticPr fontId="6" type="noConversion"/>
  </si>
  <si>
    <t>비목</t>
    <phoneticPr fontId="12" type="noConversion"/>
  </si>
  <si>
    <t>구분</t>
    <phoneticPr fontId="12" type="noConversion"/>
  </si>
  <si>
    <t>산출근거</t>
    <phoneticPr fontId="12" type="noConversion"/>
  </si>
  <si>
    <t>금          액</t>
    <phoneticPr fontId="12" type="noConversion"/>
  </si>
  <si>
    <t>비고</t>
    <phoneticPr fontId="12" type="noConversion"/>
  </si>
  <si>
    <t>재료비</t>
    <phoneticPr fontId="6" type="noConversion"/>
  </si>
  <si>
    <t>A1</t>
    <phoneticPr fontId="12" type="noConversion"/>
  </si>
  <si>
    <t>직접재료비</t>
    <phoneticPr fontId="12" type="noConversion"/>
  </si>
  <si>
    <t>A2</t>
    <phoneticPr fontId="12" type="noConversion"/>
  </si>
  <si>
    <t>간접재료비</t>
    <phoneticPr fontId="12" type="noConversion"/>
  </si>
  <si>
    <t>A</t>
    <phoneticPr fontId="12" type="noConversion"/>
  </si>
  <si>
    <t>소계</t>
    <phoneticPr fontId="12" type="noConversion"/>
  </si>
  <si>
    <t>(A1+A2)</t>
    <phoneticPr fontId="12" type="noConversion"/>
  </si>
  <si>
    <t>노무비</t>
    <phoneticPr fontId="12" type="noConversion"/>
  </si>
  <si>
    <t>B1</t>
    <phoneticPr fontId="12" type="noConversion"/>
  </si>
  <si>
    <t>직접노무비</t>
    <phoneticPr fontId="12" type="noConversion"/>
  </si>
  <si>
    <t>B2</t>
    <phoneticPr fontId="12" type="noConversion"/>
  </si>
  <si>
    <t>간접노무비</t>
    <phoneticPr fontId="12" type="noConversion"/>
  </si>
  <si>
    <t>*</t>
    <phoneticPr fontId="12" type="noConversion"/>
  </si>
  <si>
    <t>%</t>
    <phoneticPr fontId="12" type="noConversion"/>
  </si>
  <si>
    <t>(B1)*14.3%</t>
    <phoneticPr fontId="12" type="noConversion"/>
  </si>
  <si>
    <t>B</t>
    <phoneticPr fontId="12" type="noConversion"/>
  </si>
  <si>
    <t>소계</t>
    <phoneticPr fontId="12" type="noConversion"/>
  </si>
  <si>
    <t>(B1+B2)</t>
    <phoneticPr fontId="12" type="noConversion"/>
  </si>
  <si>
    <t>경비</t>
    <phoneticPr fontId="12" type="noConversion"/>
  </si>
  <si>
    <t>C1</t>
    <phoneticPr fontId="12" type="noConversion"/>
  </si>
  <si>
    <t>직접경비</t>
    <phoneticPr fontId="12" type="noConversion"/>
  </si>
  <si>
    <t>C</t>
    <phoneticPr fontId="12" type="noConversion"/>
  </si>
  <si>
    <t>(C1)</t>
    <phoneticPr fontId="12" type="noConversion"/>
  </si>
  <si>
    <t>D1</t>
    <phoneticPr fontId="12" type="noConversion"/>
  </si>
  <si>
    <t>산재보험료</t>
    <phoneticPr fontId="12" type="noConversion"/>
  </si>
  <si>
    <t>*</t>
    <phoneticPr fontId="12" type="noConversion"/>
  </si>
  <si>
    <t>(B)*3.56%</t>
    <phoneticPr fontId="12" type="noConversion"/>
  </si>
  <si>
    <t>D2</t>
    <phoneticPr fontId="6" type="noConversion"/>
  </si>
  <si>
    <t>산업안전보건관리비(반영)</t>
    <phoneticPr fontId="6" type="noConversion"/>
  </si>
  <si>
    <t>(A+B1)*1.85*1.2</t>
    <phoneticPr fontId="3" type="noConversion"/>
  </si>
  <si>
    <t>산업안전보건관리비(미반영)</t>
    <phoneticPr fontId="6" type="noConversion"/>
  </si>
  <si>
    <t>*</t>
    <phoneticPr fontId="12" type="noConversion"/>
  </si>
  <si>
    <t>%</t>
    <phoneticPr fontId="12" type="noConversion"/>
  </si>
  <si>
    <t>(A+B1+N)*1.85</t>
    <phoneticPr fontId="3" type="noConversion"/>
  </si>
  <si>
    <t>D3</t>
    <phoneticPr fontId="3" type="noConversion"/>
  </si>
  <si>
    <t>고용보험료</t>
    <phoneticPr fontId="6" type="noConversion"/>
  </si>
  <si>
    <t>(B)*1.01%</t>
    <phoneticPr fontId="12" type="noConversion"/>
  </si>
  <si>
    <t>D4</t>
    <phoneticPr fontId="3" type="noConversion"/>
  </si>
  <si>
    <t>기타경비</t>
    <phoneticPr fontId="6" type="noConversion"/>
  </si>
  <si>
    <t>(A+B)*5.5%</t>
    <phoneticPr fontId="12" type="noConversion"/>
  </si>
  <si>
    <t>D5</t>
  </si>
  <si>
    <t>환경보전비</t>
    <phoneticPr fontId="6" type="noConversion"/>
  </si>
  <si>
    <t>(A1+B1+C)*0.3%</t>
    <phoneticPr fontId="12" type="noConversion"/>
  </si>
  <si>
    <t>D6</t>
  </si>
  <si>
    <t>건강보험료</t>
    <phoneticPr fontId="12" type="noConversion"/>
  </si>
  <si>
    <t>(B1)*3.545%</t>
    <phoneticPr fontId="12" type="noConversion"/>
  </si>
  <si>
    <t>D7</t>
  </si>
  <si>
    <t>연금보험료</t>
    <phoneticPr fontId="12" type="noConversion"/>
  </si>
  <si>
    <t>(B1)*4.5%</t>
    <phoneticPr fontId="12" type="noConversion"/>
  </si>
  <si>
    <t>D8</t>
  </si>
  <si>
    <t>노인장기요양보험료</t>
    <phoneticPr fontId="12" type="noConversion"/>
  </si>
  <si>
    <t>(D7)*12.95%</t>
    <phoneticPr fontId="12" type="noConversion"/>
  </si>
  <si>
    <t>D9</t>
  </si>
  <si>
    <t>건설기계대여대금지급보증서발급비</t>
    <phoneticPr fontId="6" type="noConversion"/>
  </si>
  <si>
    <t>(A1+B1+C)*0.18%</t>
    <phoneticPr fontId="12" type="noConversion"/>
  </si>
  <si>
    <t>D10</t>
  </si>
  <si>
    <t>건설하도급대급지급보증서발급수수료</t>
    <phoneticPr fontId="3" type="noConversion"/>
  </si>
  <si>
    <t>(A1+B1+C)*0.081%</t>
    <phoneticPr fontId="12" type="noConversion"/>
  </si>
  <si>
    <t>D11</t>
  </si>
  <si>
    <t>퇴직공제부금</t>
    <phoneticPr fontId="12" type="noConversion"/>
  </si>
  <si>
    <t>D12</t>
    <phoneticPr fontId="3" type="noConversion"/>
  </si>
  <si>
    <t>안전관리비</t>
    <phoneticPr fontId="12" type="noConversion"/>
  </si>
  <si>
    <t>D</t>
    <phoneticPr fontId="12" type="noConversion"/>
  </si>
  <si>
    <t>소   계</t>
    <phoneticPr fontId="12" type="noConversion"/>
  </si>
  <si>
    <t>(D1+D2+~+D10+D12)</t>
    <phoneticPr fontId="12" type="noConversion"/>
  </si>
  <si>
    <t>E. 합 계</t>
    <phoneticPr fontId="12" type="noConversion"/>
  </si>
  <si>
    <t>(A+B+C+D)</t>
    <phoneticPr fontId="12" type="noConversion"/>
  </si>
  <si>
    <t>F. 일반관리비</t>
    <phoneticPr fontId="12" type="noConversion"/>
  </si>
  <si>
    <t>(E)*6.0%</t>
    <phoneticPr fontId="12" type="noConversion"/>
  </si>
  <si>
    <t>G. 이 윤</t>
    <phoneticPr fontId="12" type="noConversion"/>
  </si>
  <si>
    <t>%</t>
    <phoneticPr fontId="6" type="noConversion"/>
  </si>
  <si>
    <t>(B+C+D+F)*15.0%이내</t>
    <phoneticPr fontId="12" type="noConversion"/>
  </si>
  <si>
    <t>H.총원가</t>
    <phoneticPr fontId="12" type="noConversion"/>
  </si>
  <si>
    <t>(E+F+G)</t>
    <phoneticPr fontId="3" type="noConversion"/>
  </si>
  <si>
    <t>K. 고재</t>
    <phoneticPr fontId="12" type="noConversion"/>
  </si>
  <si>
    <t>L. 공급가액</t>
    <phoneticPr fontId="12" type="noConversion"/>
  </si>
  <si>
    <t>(H+K)</t>
    <phoneticPr fontId="12" type="noConversion"/>
  </si>
  <si>
    <t>M. 부가가치세</t>
    <phoneticPr fontId="12" type="noConversion"/>
  </si>
  <si>
    <t>(L)*10.0%</t>
    <phoneticPr fontId="12" type="noConversion"/>
  </si>
  <si>
    <t>N. 도급공사비</t>
    <phoneticPr fontId="12" type="noConversion"/>
  </si>
  <si>
    <t>(L+M)</t>
    <phoneticPr fontId="3" type="noConversion"/>
  </si>
  <si>
    <t>O. 관급자 관급자재대</t>
    <phoneticPr fontId="12" type="noConversion"/>
  </si>
  <si>
    <t>P. 도급자 관급자재대</t>
    <phoneticPr fontId="12" type="noConversion"/>
  </si>
  <si>
    <t>Q. 총공사비</t>
    <phoneticPr fontId="12" type="noConversion"/>
  </si>
  <si>
    <t>(N+O+P)</t>
    <phoneticPr fontId="12" type="noConversion"/>
  </si>
  <si>
    <t>범계어린이공원 정비공사</t>
  </si>
  <si>
    <t>범계어린이공원 정비공사</t>
    <phoneticPr fontId="3" type="noConversion"/>
  </si>
  <si>
    <t>노후화된 어린이공원 내 놀이시설 및 각종 편의시설 등의 정비를 통해 성장기 어린이의 모험심과 상상력을 자극하여 감성, 창의성 발달을 도모하고 시민들에게 쾌적한 휴식을 줄 수 있는 공간 제공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</si>
</sst>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_(* #,##0.00_);_(* \(#,##0.00\);_(* &quot;-&quot;??_);_(@_)"/>
    <numFmt numFmtId="177" formatCode="General;\-General\,&quot;&quot;;@"/>
    <numFmt numFmtId="178" formatCode="#,###.000;\-#,###.000;&quot;&quot;;@"/>
    <numFmt numFmtId="179" formatCode="#,###;\-#,###;&quot;&quot;;@"/>
    <numFmt numFmtId="180" formatCode="#,##0_ "/>
    <numFmt numFmtId="181" formatCode="_-* #,##0.000_-;\-* #,##0.000_-;_-* &quot;-&quot;_-;_-@_-"/>
    <numFmt numFmtId="182" formatCode="_-* #,##0.0_-;\-* #,##0.0_-;_-* &quot;-&quot;_-;_-@_-"/>
    <numFmt numFmtId="183" formatCode="_-* #,##0.00_-;\-* #,##0.00_-;_-* &quot;-&quot;_-;_-@_-"/>
    <numFmt numFmtId="184" formatCode="_(* #,##0_);_(* \(#,##0\);_(* &quot;-&quot;??_);_(@_)"/>
    <numFmt numFmtId="185" formatCode="#,##0.000000_ "/>
  </numFmts>
  <fonts count="30">
    <font>
      <sz val="8"/>
      <color indexed="8"/>
      <name val="굴림"/>
      <family val="3"/>
      <charset val="129"/>
    </font>
    <font>
      <sz val="8"/>
      <color indexed="22"/>
      <name val="굴림"/>
      <family val="3"/>
      <charset val="129"/>
    </font>
    <font>
      <u/>
      <sz val="8"/>
      <color indexed="30"/>
      <name val="굴림"/>
      <family val="3"/>
      <charset val="129"/>
    </font>
    <font>
      <sz val="8"/>
      <name val="굴림"/>
      <family val="3"/>
      <charset val="129"/>
    </font>
    <font>
      <b/>
      <sz val="8"/>
      <color indexed="8"/>
      <name val="굴림"/>
      <family val="3"/>
      <charset val="129"/>
    </font>
    <font>
      <sz val="10"/>
      <name val="Arial"/>
      <family val="2"/>
    </font>
    <font>
      <sz val="8"/>
      <name val="굴림체"/>
      <family val="3"/>
      <charset val="129"/>
    </font>
    <font>
      <b/>
      <sz val="10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돋움"/>
      <family val="3"/>
      <charset val="129"/>
    </font>
    <font>
      <sz val="6.7"/>
      <name val="HY울릉도L"/>
      <family val="1"/>
      <charset val="129"/>
    </font>
    <font>
      <sz val="11"/>
      <name val="HY울릉도L"/>
      <family val="1"/>
      <charset val="129"/>
    </font>
    <font>
      <sz val="9"/>
      <name val="맑은 고딕"/>
      <family val="3"/>
      <charset val="129"/>
    </font>
    <font>
      <sz val="9"/>
      <name val="굴림"/>
      <family val="3"/>
      <charset val="129"/>
    </font>
    <font>
      <b/>
      <sz val="16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7"/>
      <name val="맑은 고딕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27"/>
        <bgColor indexed="9"/>
      </patternFill>
    </fill>
    <fill>
      <patternFill patternType="lightGray">
        <bgColor theme="0" tint="-4.9989318521683403E-2"/>
      </patternFill>
    </fill>
    <fill>
      <patternFill patternType="solid">
        <fgColor indexed="65"/>
        <bgColor indexed="64"/>
      </patternFill>
    </fill>
    <fill>
      <patternFill patternType="lightGray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5" fillId="0" borderId="0"/>
    <xf numFmtId="0" fontId="13" fillId="0" borderId="0">
      <alignment vertical="center"/>
    </xf>
    <xf numFmtId="0" fontId="11" fillId="0" borderId="0"/>
    <xf numFmtId="41" fontId="22" fillId="0" borderId="0" applyFont="0" applyFill="0" applyBorder="0" applyAlignment="0" applyProtection="0">
      <alignment vertical="center"/>
    </xf>
    <xf numFmtId="0" fontId="5" fillId="0" borderId="0"/>
    <xf numFmtId="41" fontId="11" fillId="0" borderId="0" applyFont="0" applyFill="0" applyBorder="0" applyAlignment="0" applyProtection="0"/>
    <xf numFmtId="176" fontId="22" fillId="0" borderId="0"/>
    <xf numFmtId="9" fontId="22" fillId="0" borderId="0"/>
  </cellStyleXfs>
  <cellXfs count="200">
    <xf numFmtId="0" fontId="0" fillId="0" borderId="0" xfId="0"/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77" fontId="0" fillId="0" borderId="4" xfId="0" applyNumberFormat="1" applyBorder="1" applyAlignment="1">
      <alignment vertical="center"/>
    </xf>
    <xf numFmtId="177" fontId="0" fillId="0" borderId="5" xfId="0" applyNumberFormat="1" applyBorder="1" applyAlignment="1">
      <alignment vertical="center"/>
    </xf>
    <xf numFmtId="177" fontId="0" fillId="0" borderId="6" xfId="0" applyNumberFormat="1" applyBorder="1" applyAlignment="1">
      <alignment vertical="center"/>
    </xf>
    <xf numFmtId="177" fontId="0" fillId="0" borderId="7" xfId="0" applyNumberFormat="1" applyBorder="1" applyAlignment="1">
      <alignment vertical="center"/>
    </xf>
    <xf numFmtId="177" fontId="0" fillId="0" borderId="8" xfId="0" applyNumberFormat="1" applyBorder="1" applyAlignment="1">
      <alignment vertical="center"/>
    </xf>
    <xf numFmtId="177" fontId="0" fillId="4" borderId="9" xfId="0" applyNumberFormat="1" applyFill="1" applyBorder="1" applyAlignment="1">
      <alignment horizontal="center" vertical="center"/>
    </xf>
    <xf numFmtId="177" fontId="0" fillId="4" borderId="10" xfId="0" applyNumberFormat="1" applyFill="1" applyBorder="1" applyAlignment="1">
      <alignment horizontal="center" vertical="center"/>
    </xf>
    <xf numFmtId="177" fontId="0" fillId="4" borderId="11" xfId="0" applyNumberFormat="1" applyFill="1" applyBorder="1" applyAlignment="1">
      <alignment horizontal="center" vertical="center"/>
    </xf>
    <xf numFmtId="177" fontId="0" fillId="4" borderId="11" xfId="0" applyNumberFormat="1" applyFill="1" applyBorder="1" applyAlignment="1">
      <alignment horizontal="center" vertical="center" wrapText="1"/>
    </xf>
    <xf numFmtId="177" fontId="0" fillId="0" borderId="5" xfId="0" applyNumberFormat="1" applyBorder="1" applyAlignment="1">
      <alignment vertical="center" wrapText="1"/>
    </xf>
    <xf numFmtId="177" fontId="0" fillId="0" borderId="8" xfId="0" applyNumberFormat="1" applyBorder="1" applyAlignment="1">
      <alignment vertical="center" wrapText="1"/>
    </xf>
    <xf numFmtId="177" fontId="0" fillId="4" borderId="10" xfId="0" applyNumberFormat="1" applyFill="1" applyBorder="1" applyAlignment="1">
      <alignment horizontal="center" vertical="center" wrapText="1"/>
    </xf>
    <xf numFmtId="177" fontId="0" fillId="0" borderId="1" xfId="0" applyNumberFormat="1" applyBorder="1" applyAlignment="1">
      <alignment vertical="center" wrapText="1"/>
    </xf>
    <xf numFmtId="177" fontId="0" fillId="0" borderId="7" xfId="0" applyNumberFormat="1" applyBorder="1" applyAlignment="1">
      <alignment vertical="center" wrapText="1"/>
    </xf>
    <xf numFmtId="178" fontId="0" fillId="0" borderId="1" xfId="0" applyNumberFormat="1" applyBorder="1" applyAlignment="1">
      <alignment vertical="center"/>
    </xf>
    <xf numFmtId="178" fontId="0" fillId="0" borderId="7" xfId="0" applyNumberFormat="1" applyBorder="1" applyAlignment="1">
      <alignment vertical="center"/>
    </xf>
    <xf numFmtId="179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/>
    <xf numFmtId="177" fontId="4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shrinkToFit="1"/>
    </xf>
    <xf numFmtId="177" fontId="0" fillId="0" borderId="1" xfId="0" applyNumberFormat="1" applyBorder="1" applyAlignment="1">
      <alignment vertical="center" shrinkToFit="1"/>
    </xf>
    <xf numFmtId="0" fontId="9" fillId="0" borderId="0" xfId="2" applyFont="1" applyAlignment="1"/>
    <xf numFmtId="0" fontId="14" fillId="0" borderId="0" xfId="2" applyFont="1" applyAlignment="1"/>
    <xf numFmtId="0" fontId="13" fillId="0" borderId="0" xfId="2" applyAlignment="1"/>
    <xf numFmtId="0" fontId="10" fillId="0" borderId="0" xfId="2" applyFont="1" applyAlignment="1"/>
    <xf numFmtId="0" fontId="15" fillId="0" borderId="0" xfId="2" applyFont="1" applyAlignment="1">
      <alignment horizontal="center"/>
    </xf>
    <xf numFmtId="0" fontId="15" fillId="0" borderId="0" xfId="2" applyFont="1" applyAlignment="1"/>
    <xf numFmtId="0" fontId="16" fillId="0" borderId="0" xfId="2" applyFont="1" applyAlignment="1"/>
    <xf numFmtId="0" fontId="15" fillId="0" borderId="0" xfId="2" applyFont="1" applyAlignment="1">
      <alignment vertical="center"/>
    </xf>
    <xf numFmtId="0" fontId="17" fillId="0" borderId="0" xfId="2" applyFont="1" applyAlignment="1"/>
    <xf numFmtId="0" fontId="18" fillId="0" borderId="0" xfId="2" applyFont="1" applyAlignment="1"/>
    <xf numFmtId="0" fontId="15" fillId="0" borderId="0" xfId="2" quotePrefix="1" applyFont="1" applyAlignment="1"/>
    <xf numFmtId="0" fontId="14" fillId="0" borderId="0" xfId="2" quotePrefix="1" applyFont="1" applyAlignment="1"/>
    <xf numFmtId="0" fontId="8" fillId="0" borderId="0" xfId="2" applyFont="1" applyAlignment="1">
      <alignment horizontal="center" vertical="center"/>
    </xf>
    <xf numFmtId="3" fontId="19" fillId="0" borderId="0" xfId="2" applyNumberFormat="1" applyFont="1" applyAlignment="1">
      <alignment horizontal="right" vertical="center"/>
    </xf>
    <xf numFmtId="0" fontId="19" fillId="0" borderId="17" xfId="2" applyFont="1" applyBorder="1" applyAlignment="1">
      <alignment horizontal="left" vertical="center"/>
    </xf>
    <xf numFmtId="0" fontId="19" fillId="0" borderId="0" xfId="2" applyFont="1" applyBorder="1" applyAlignment="1">
      <alignment horizontal="left" vertical="center"/>
    </xf>
    <xf numFmtId="0" fontId="19" fillId="0" borderId="0" xfId="2" applyFont="1" applyAlignment="1"/>
    <xf numFmtId="0" fontId="19" fillId="0" borderId="25" xfId="2" applyFont="1" applyBorder="1" applyAlignment="1">
      <alignment horizontal="center" vertical="center"/>
    </xf>
    <xf numFmtId="0" fontId="19" fillId="0" borderId="27" xfId="2" applyFont="1" applyBorder="1" applyAlignment="1">
      <alignment horizontal="center" vertical="center"/>
    </xf>
    <xf numFmtId="9" fontId="19" fillId="0" borderId="28" xfId="2" applyNumberFormat="1" applyFont="1" applyBorder="1" applyAlignment="1">
      <alignment horizontal="center" vertical="center"/>
    </xf>
    <xf numFmtId="9" fontId="19" fillId="5" borderId="29" xfId="2" applyNumberFormat="1" applyFont="1" applyFill="1" applyBorder="1" applyAlignment="1">
      <alignment horizontal="center" vertical="center"/>
    </xf>
    <xf numFmtId="9" fontId="19" fillId="6" borderId="30" xfId="2" applyNumberFormat="1" applyFont="1" applyFill="1" applyBorder="1" applyAlignment="1">
      <alignment horizontal="center" vertical="center"/>
    </xf>
    <xf numFmtId="9" fontId="19" fillId="6" borderId="31" xfId="2" applyNumberFormat="1" applyFont="1" applyFill="1" applyBorder="1" applyAlignment="1">
      <alignment horizontal="center" vertical="center"/>
    </xf>
    <xf numFmtId="9" fontId="19" fillId="7" borderId="32" xfId="2" applyNumberFormat="1" applyFont="1" applyFill="1" applyBorder="1" applyAlignment="1">
      <alignment horizontal="center" vertical="center"/>
    </xf>
    <xf numFmtId="9" fontId="19" fillId="6" borderId="32" xfId="2" applyNumberFormat="1" applyFont="1" applyFill="1" applyBorder="1" applyAlignment="1">
      <alignment horizontal="center" vertical="center"/>
    </xf>
    <xf numFmtId="9" fontId="19" fillId="0" borderId="32" xfId="2" applyNumberFormat="1" applyFont="1" applyFill="1" applyBorder="1" applyAlignment="1">
      <alignment horizontal="center" vertical="center"/>
    </xf>
    <xf numFmtId="0" fontId="19" fillId="0" borderId="33" xfId="2" applyFont="1" applyBorder="1" applyAlignment="1">
      <alignment horizontal="center" vertical="center"/>
    </xf>
    <xf numFmtId="9" fontId="19" fillId="6" borderId="34" xfId="2" applyNumberFormat="1" applyFont="1" applyFill="1" applyBorder="1" applyAlignment="1">
      <alignment horizontal="center" vertical="center"/>
    </xf>
    <xf numFmtId="0" fontId="19" fillId="0" borderId="23" xfId="2" applyFont="1" applyBorder="1" applyAlignment="1">
      <alignment horizontal="center" vertical="center"/>
    </xf>
    <xf numFmtId="9" fontId="19" fillId="0" borderId="35" xfId="2" applyNumberFormat="1" applyFont="1" applyBorder="1" applyAlignment="1">
      <alignment horizontal="center" vertical="center"/>
    </xf>
    <xf numFmtId="9" fontId="19" fillId="0" borderId="36" xfId="2" applyNumberFormat="1" applyFont="1" applyBorder="1" applyAlignment="1">
      <alignment horizontal="center" vertical="center"/>
    </xf>
    <xf numFmtId="9" fontId="19" fillId="0" borderId="37" xfId="2" applyNumberFormat="1" applyFont="1" applyBorder="1" applyAlignment="1">
      <alignment horizontal="center" vertical="center"/>
    </xf>
    <xf numFmtId="9" fontId="19" fillId="0" borderId="38" xfId="2" applyNumberFormat="1" applyFont="1" applyBorder="1" applyAlignment="1">
      <alignment horizontal="center" vertical="center"/>
    </xf>
    <xf numFmtId="0" fontId="20" fillId="0" borderId="0" xfId="2" applyFont="1" applyBorder="1" applyAlignment="1">
      <alignment horizontal="center" vertical="center"/>
    </xf>
    <xf numFmtId="9" fontId="20" fillId="0" borderId="0" xfId="2" applyNumberFormat="1" applyFont="1" applyBorder="1" applyAlignment="1">
      <alignment horizontal="center" vertical="center"/>
    </xf>
    <xf numFmtId="0" fontId="13" fillId="0" borderId="0" xfId="2" applyAlignment="1">
      <alignment horizontal="center" vertical="center"/>
    </xf>
    <xf numFmtId="0" fontId="13" fillId="0" borderId="0" xfId="2" quotePrefix="1" applyAlignment="1">
      <alignment horizontal="center" vertical="center"/>
    </xf>
    <xf numFmtId="0" fontId="10" fillId="0" borderId="0" xfId="3" applyFont="1" applyAlignment="1">
      <alignment vertical="center"/>
    </xf>
    <xf numFmtId="41" fontId="10" fillId="0" borderId="0" xfId="4" applyFont="1" applyAlignment="1">
      <alignment vertical="center"/>
    </xf>
    <xf numFmtId="180" fontId="7" fillId="0" borderId="0" xfId="3" applyNumberFormat="1" applyFont="1" applyAlignment="1">
      <alignment horizontal="right" vertical="center"/>
    </xf>
    <xf numFmtId="180" fontId="7" fillId="0" borderId="0" xfId="3" applyNumberFormat="1" applyFont="1" applyAlignment="1">
      <alignment horizontal="center" vertical="center"/>
    </xf>
    <xf numFmtId="0" fontId="24" fillId="0" borderId="0" xfId="5" applyFont="1" applyAlignment="1">
      <alignment horizontal="right"/>
    </xf>
    <xf numFmtId="0" fontId="7" fillId="0" borderId="0" xfId="3" applyFont="1" applyAlignment="1">
      <alignment horizontal="left" vertical="center"/>
    </xf>
    <xf numFmtId="0" fontId="7" fillId="0" borderId="0" xfId="3" applyFont="1" applyAlignment="1">
      <alignment vertical="center"/>
    </xf>
    <xf numFmtId="41" fontId="7" fillId="0" borderId="0" xfId="4" applyFont="1" applyAlignment="1">
      <alignment vertical="center"/>
    </xf>
    <xf numFmtId="180" fontId="25" fillId="8" borderId="1" xfId="3" applyNumberFormat="1" applyFont="1" applyFill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41" fontId="10" fillId="0" borderId="0" xfId="4" applyFont="1" applyAlignment="1">
      <alignment horizontal="center" vertical="center"/>
    </xf>
    <xf numFmtId="0" fontId="26" fillId="0" borderId="13" xfId="6" applyNumberFormat="1" applyFont="1" applyBorder="1" applyAlignment="1">
      <alignment vertical="center" wrapText="1"/>
    </xf>
    <xf numFmtId="41" fontId="24" fillId="0" borderId="1" xfId="3" applyNumberFormat="1" applyFont="1" applyBorder="1" applyAlignment="1">
      <alignment horizontal="center" vertical="center"/>
    </xf>
    <xf numFmtId="41" fontId="24" fillId="0" borderId="1" xfId="3" applyNumberFormat="1" applyFont="1" applyBorder="1" applyAlignment="1">
      <alignment horizontal="left" vertical="center"/>
    </xf>
    <xf numFmtId="41" fontId="24" fillId="0" borderId="15" xfId="3" applyNumberFormat="1" applyFont="1" applyBorder="1" applyAlignment="1">
      <alignment horizontal="center" vertical="center"/>
    </xf>
    <xf numFmtId="41" fontId="24" fillId="0" borderId="12" xfId="3" applyNumberFormat="1" applyFont="1" applyBorder="1" applyAlignment="1">
      <alignment horizontal="center" vertical="center"/>
    </xf>
    <xf numFmtId="41" fontId="19" fillId="0" borderId="0" xfId="3" applyNumberFormat="1" applyFont="1" applyAlignment="1">
      <alignment vertical="center"/>
    </xf>
    <xf numFmtId="0" fontId="26" fillId="0" borderId="2" xfId="6" applyNumberFormat="1" applyFont="1" applyBorder="1" applyAlignment="1">
      <alignment vertical="center" wrapText="1"/>
    </xf>
    <xf numFmtId="41" fontId="25" fillId="0" borderId="1" xfId="3" applyNumberFormat="1" applyFont="1" applyBorder="1" applyAlignment="1">
      <alignment horizontal="center" vertical="center"/>
    </xf>
    <xf numFmtId="41" fontId="25" fillId="0" borderId="1" xfId="3" applyNumberFormat="1" applyFont="1" applyBorder="1" applyAlignment="1">
      <alignment horizontal="left" vertical="center"/>
    </xf>
    <xf numFmtId="41" fontId="25" fillId="0" borderId="15" xfId="3" applyNumberFormat="1" applyFont="1" applyBorder="1" applyAlignment="1">
      <alignment horizontal="center" vertical="center"/>
    </xf>
    <xf numFmtId="41" fontId="25" fillId="0" borderId="12" xfId="3" applyNumberFormat="1" applyFont="1" applyBorder="1" applyAlignment="1">
      <alignment horizontal="center" vertical="center"/>
    </xf>
    <xf numFmtId="41" fontId="23" fillId="0" borderId="0" xfId="3" applyNumberFormat="1" applyFont="1" applyAlignment="1">
      <alignment vertical="center"/>
    </xf>
    <xf numFmtId="43" fontId="19" fillId="0" borderId="0" xfId="3" applyNumberFormat="1" applyFont="1" applyAlignment="1">
      <alignment vertical="center"/>
    </xf>
    <xf numFmtId="181" fontId="24" fillId="0" borderId="12" xfId="3" applyNumberFormat="1" applyFont="1" applyBorder="1" applyAlignment="1">
      <alignment horizontal="center" vertical="center"/>
    </xf>
    <xf numFmtId="182" fontId="24" fillId="0" borderId="12" xfId="3" applyNumberFormat="1" applyFont="1" applyBorder="1" applyAlignment="1">
      <alignment horizontal="center" vertical="center"/>
    </xf>
    <xf numFmtId="181" fontId="25" fillId="0" borderId="12" xfId="3" applyNumberFormat="1" applyFont="1" applyBorder="1" applyAlignment="1">
      <alignment horizontal="center" vertical="center"/>
    </xf>
    <xf numFmtId="180" fontId="7" fillId="0" borderId="0" xfId="3" applyNumberFormat="1" applyFont="1" applyAlignment="1">
      <alignment vertical="center"/>
    </xf>
    <xf numFmtId="180" fontId="24" fillId="0" borderId="13" xfId="3" applyNumberFormat="1" applyFont="1" applyBorder="1" applyAlignment="1">
      <alignment vertical="center" wrapText="1"/>
    </xf>
    <xf numFmtId="41" fontId="24" fillId="0" borderId="1" xfId="3" applyNumberFormat="1" applyFont="1" applyFill="1" applyBorder="1" applyAlignment="1">
      <alignment horizontal="left" vertical="center"/>
    </xf>
    <xf numFmtId="182" fontId="24" fillId="0" borderId="12" xfId="3" applyNumberFormat="1" applyFont="1" applyFill="1" applyBorder="1" applyAlignment="1">
      <alignment horizontal="center" vertical="center"/>
    </xf>
    <xf numFmtId="180" fontId="24" fillId="0" borderId="2" xfId="3" applyNumberFormat="1" applyFont="1" applyBorder="1" applyAlignment="1">
      <alignment vertical="center" wrapText="1"/>
    </xf>
    <xf numFmtId="41" fontId="24" fillId="0" borderId="15" xfId="3" applyNumberFormat="1" applyFont="1" applyBorder="1" applyAlignment="1">
      <alignment horizontal="center" vertical="center" shrinkToFit="1"/>
    </xf>
    <xf numFmtId="41" fontId="24" fillId="0" borderId="12" xfId="3" applyNumberFormat="1" applyFont="1" applyFill="1" applyBorder="1" applyAlignment="1">
      <alignment horizontal="center" vertical="center"/>
    </xf>
    <xf numFmtId="181" fontId="24" fillId="0" borderId="12" xfId="3" applyNumberFormat="1" applyFont="1" applyFill="1" applyBorder="1" applyAlignment="1">
      <alignment horizontal="center" vertical="center"/>
    </xf>
    <xf numFmtId="41" fontId="24" fillId="0" borderId="1" xfId="6" applyFont="1" applyFill="1" applyBorder="1" applyAlignment="1">
      <alignment vertical="center"/>
    </xf>
    <xf numFmtId="0" fontId="10" fillId="0" borderId="14" xfId="3" applyFont="1" applyBorder="1" applyAlignment="1">
      <alignment horizontal="center" vertical="center"/>
    </xf>
    <xf numFmtId="41" fontId="27" fillId="0" borderId="1" xfId="6" applyFont="1" applyFill="1" applyBorder="1" applyAlignment="1">
      <alignment vertical="center"/>
    </xf>
    <xf numFmtId="0" fontId="10" fillId="0" borderId="0" xfId="3" applyFont="1" applyBorder="1" applyAlignment="1">
      <alignment horizontal="center" vertical="center"/>
    </xf>
    <xf numFmtId="180" fontId="24" fillId="0" borderId="15" xfId="3" applyNumberFormat="1" applyFont="1" applyFill="1" applyBorder="1" applyAlignment="1">
      <alignment horizontal="left" vertical="center"/>
    </xf>
    <xf numFmtId="180" fontId="24" fillId="0" borderId="16" xfId="3" applyNumberFormat="1" applyFont="1" applyFill="1" applyBorder="1" applyAlignment="1">
      <alignment horizontal="left" vertical="center"/>
    </xf>
    <xf numFmtId="0" fontId="26" fillId="0" borderId="3" xfId="6" applyNumberFormat="1" applyFont="1" applyBorder="1" applyAlignment="1">
      <alignment vertical="center" wrapText="1"/>
    </xf>
    <xf numFmtId="180" fontId="24" fillId="0" borderId="3" xfId="3" applyNumberFormat="1" applyFont="1" applyBorder="1" applyAlignment="1">
      <alignment vertical="center" wrapText="1"/>
    </xf>
    <xf numFmtId="41" fontId="25" fillId="0" borderId="1" xfId="6" applyFont="1" applyBorder="1" applyAlignment="1">
      <alignment horizontal="center" vertical="center"/>
    </xf>
    <xf numFmtId="41" fontId="25" fillId="0" borderId="15" xfId="6" applyFont="1" applyBorder="1" applyAlignment="1">
      <alignment horizontal="center" vertical="center"/>
    </xf>
    <xf numFmtId="41" fontId="25" fillId="0" borderId="12" xfId="6" applyFont="1" applyBorder="1" applyAlignment="1">
      <alignment horizontal="center" vertical="center"/>
    </xf>
    <xf numFmtId="41" fontId="7" fillId="0" borderId="0" xfId="3" applyNumberFormat="1" applyFont="1" applyAlignment="1">
      <alignment vertical="center"/>
    </xf>
    <xf numFmtId="41" fontId="24" fillId="0" borderId="15" xfId="6" applyFont="1" applyBorder="1" applyAlignment="1">
      <alignment horizontal="center" vertical="center"/>
    </xf>
    <xf numFmtId="41" fontId="24" fillId="0" borderId="12" xfId="6" applyFont="1" applyBorder="1" applyAlignment="1">
      <alignment horizontal="center" vertical="center"/>
    </xf>
    <xf numFmtId="182" fontId="24" fillId="0" borderId="12" xfId="6" applyNumberFormat="1" applyFont="1" applyBorder="1" applyAlignment="1">
      <alignment horizontal="center" vertical="center"/>
    </xf>
    <xf numFmtId="183" fontId="24" fillId="0" borderId="12" xfId="6" applyNumberFormat="1" applyFont="1" applyBorder="1" applyAlignment="1">
      <alignment horizontal="center" vertical="center"/>
    </xf>
    <xf numFmtId="41" fontId="10" fillId="0" borderId="0" xfId="3" applyNumberFormat="1" applyFont="1" applyAlignment="1">
      <alignment vertical="center"/>
    </xf>
    <xf numFmtId="180" fontId="24" fillId="0" borderId="15" xfId="3" applyNumberFormat="1" applyFont="1" applyBorder="1" applyAlignment="1">
      <alignment horizontal="left" vertical="center"/>
    </xf>
    <xf numFmtId="180" fontId="24" fillId="0" borderId="16" xfId="3" applyNumberFormat="1" applyFont="1" applyBorder="1" applyAlignment="1">
      <alignment horizontal="left" vertical="center"/>
    </xf>
    <xf numFmtId="43" fontId="10" fillId="0" borderId="14" xfId="3" applyNumberFormat="1" applyFont="1" applyBorder="1" applyAlignment="1">
      <alignment horizontal="center" vertical="center"/>
    </xf>
    <xf numFmtId="0" fontId="14" fillId="0" borderId="0" xfId="3" applyFont="1" applyAlignment="1">
      <alignment vertical="center"/>
    </xf>
    <xf numFmtId="184" fontId="19" fillId="0" borderId="0" xfId="7" applyNumberFormat="1" applyFont="1"/>
    <xf numFmtId="41" fontId="24" fillId="0" borderId="15" xfId="6" applyFont="1" applyFill="1" applyBorder="1" applyAlignment="1">
      <alignment horizontal="center" vertical="center"/>
    </xf>
    <xf numFmtId="41" fontId="24" fillId="0" borderId="12" xfId="6" applyFont="1" applyFill="1" applyBorder="1" applyAlignment="1">
      <alignment horizontal="center" vertical="center"/>
    </xf>
    <xf numFmtId="183" fontId="24" fillId="0" borderId="12" xfId="6" applyNumberFormat="1" applyFont="1" applyFill="1" applyBorder="1" applyAlignment="1">
      <alignment horizontal="center" vertical="center"/>
    </xf>
    <xf numFmtId="0" fontId="14" fillId="0" borderId="0" xfId="3" applyFont="1" applyFill="1" applyAlignment="1">
      <alignment vertical="center"/>
    </xf>
    <xf numFmtId="184" fontId="19" fillId="0" borderId="0" xfId="7" applyNumberFormat="1" applyFont="1" applyFill="1"/>
    <xf numFmtId="0" fontId="14" fillId="9" borderId="0" xfId="3" applyFont="1" applyFill="1" applyAlignment="1">
      <alignment vertical="center"/>
    </xf>
    <xf numFmtId="184" fontId="19" fillId="9" borderId="0" xfId="7" applyNumberFormat="1" applyFont="1" applyFill="1"/>
    <xf numFmtId="9" fontId="19" fillId="0" borderId="0" xfId="8" applyFont="1"/>
    <xf numFmtId="0" fontId="28" fillId="0" borderId="0" xfId="3" applyFont="1" applyAlignment="1">
      <alignment horizontal="left" vertical="center"/>
    </xf>
    <xf numFmtId="180" fontId="28" fillId="0" borderId="0" xfId="3" applyNumberFormat="1" applyFont="1" applyAlignment="1">
      <alignment horizontal="right" vertical="center"/>
    </xf>
    <xf numFmtId="180" fontId="28" fillId="0" borderId="0" xfId="3" applyNumberFormat="1" applyFont="1" applyAlignment="1">
      <alignment horizontal="center" vertical="center"/>
    </xf>
    <xf numFmtId="180" fontId="28" fillId="0" borderId="0" xfId="3" applyNumberFormat="1" applyFont="1" applyAlignment="1">
      <alignment horizontal="left" vertical="center"/>
    </xf>
    <xf numFmtId="0" fontId="29" fillId="0" borderId="0" xfId="3" applyFont="1" applyAlignment="1">
      <alignment vertical="center"/>
    </xf>
    <xf numFmtId="41" fontId="29" fillId="0" borderId="0" xfId="4" applyFont="1" applyAlignment="1">
      <alignment vertical="center"/>
    </xf>
    <xf numFmtId="43" fontId="29" fillId="0" borderId="0" xfId="3" applyNumberFormat="1" applyFont="1" applyAlignment="1">
      <alignment vertical="center"/>
    </xf>
    <xf numFmtId="0" fontId="28" fillId="0" borderId="0" xfId="3" applyFont="1" applyAlignment="1">
      <alignment vertical="center"/>
    </xf>
    <xf numFmtId="41" fontId="28" fillId="0" borderId="0" xfId="4" applyFont="1" applyAlignment="1">
      <alignment vertical="center"/>
    </xf>
    <xf numFmtId="0" fontId="11" fillId="0" borderId="0" xfId="3" applyAlignment="1">
      <alignment horizontal="left" vertical="center"/>
    </xf>
    <xf numFmtId="180" fontId="11" fillId="0" borderId="0" xfId="3" applyNumberFormat="1" applyAlignment="1">
      <alignment horizontal="right" vertical="center"/>
    </xf>
    <xf numFmtId="180" fontId="11" fillId="0" borderId="0" xfId="3" applyNumberFormat="1" applyAlignment="1">
      <alignment horizontal="center" vertical="center"/>
    </xf>
    <xf numFmtId="180" fontId="11" fillId="0" borderId="0" xfId="3" applyNumberFormat="1" applyAlignment="1">
      <alignment horizontal="left" vertical="center"/>
    </xf>
    <xf numFmtId="0" fontId="11" fillId="0" borderId="0" xfId="3" applyAlignment="1">
      <alignment vertical="center"/>
    </xf>
    <xf numFmtId="41" fontId="11" fillId="0" borderId="0" xfId="4" applyFont="1" applyAlignment="1">
      <alignment vertical="center"/>
    </xf>
    <xf numFmtId="185" fontId="11" fillId="0" borderId="0" xfId="3" applyNumberFormat="1" applyAlignment="1">
      <alignment horizontal="left" vertical="center"/>
    </xf>
    <xf numFmtId="41" fontId="24" fillId="0" borderId="1" xfId="3" applyNumberFormat="1" applyFont="1" applyBorder="1" applyAlignment="1">
      <alignment horizontal="right" vertical="center"/>
    </xf>
    <xf numFmtId="41" fontId="25" fillId="0" borderId="1" xfId="3" applyNumberFormat="1" applyFont="1" applyBorder="1" applyAlignment="1">
      <alignment horizontal="right" vertical="center"/>
    </xf>
    <xf numFmtId="41" fontId="24" fillId="0" borderId="1" xfId="3" applyNumberFormat="1" applyFont="1" applyFill="1" applyBorder="1" applyAlignment="1">
      <alignment horizontal="right" vertical="center"/>
    </xf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3" fillId="0" borderId="0" xfId="2" applyAlignment="1">
      <alignment horizontal="center" wrapText="1"/>
    </xf>
    <xf numFmtId="0" fontId="8" fillId="0" borderId="0" xfId="2" applyFont="1" applyAlignment="1">
      <alignment horizontal="center" vertical="center"/>
    </xf>
    <xf numFmtId="0" fontId="14" fillId="0" borderId="0" xfId="2" applyFont="1" applyAlignment="1">
      <alignment horizontal="center"/>
    </xf>
    <xf numFmtId="0" fontId="19" fillId="0" borderId="18" xfId="2" applyFont="1" applyBorder="1" applyAlignment="1" applyProtection="1">
      <alignment horizontal="center" vertical="center"/>
    </xf>
    <xf numFmtId="0" fontId="19" fillId="0" borderId="23" xfId="2" applyFont="1" applyBorder="1" applyAlignment="1"/>
    <xf numFmtId="0" fontId="19" fillId="0" borderId="19" xfId="2" applyFont="1" applyBorder="1" applyAlignment="1" applyProtection="1">
      <alignment horizontal="center" vertical="center"/>
    </xf>
    <xf numFmtId="0" fontId="19" fillId="0" borderId="24" xfId="2" applyFont="1" applyBorder="1" applyAlignment="1"/>
    <xf numFmtId="0" fontId="19" fillId="0" borderId="20" xfId="2" applyFont="1" applyBorder="1" applyAlignment="1">
      <alignment horizontal="center" vertical="center"/>
    </xf>
    <xf numFmtId="0" fontId="19" fillId="0" borderId="21" xfId="2" applyFont="1" applyBorder="1" applyAlignment="1">
      <alignment horizontal="center" vertical="center"/>
    </xf>
    <xf numFmtId="0" fontId="19" fillId="0" borderId="22" xfId="2" applyFont="1" applyBorder="1" applyAlignment="1">
      <alignment horizontal="center" vertical="center"/>
    </xf>
    <xf numFmtId="0" fontId="19" fillId="0" borderId="26" xfId="2" applyFont="1" applyBorder="1" applyAlignment="1">
      <alignment horizontal="center" vertical="center"/>
    </xf>
    <xf numFmtId="41" fontId="24" fillId="0" borderId="15" xfId="6" applyFont="1" applyBorder="1" applyAlignment="1">
      <alignment horizontal="left" vertical="center"/>
    </xf>
    <xf numFmtId="41" fontId="24" fillId="0" borderId="12" xfId="6" applyFont="1" applyBorder="1" applyAlignment="1">
      <alignment horizontal="left" vertical="center"/>
    </xf>
    <xf numFmtId="41" fontId="24" fillId="0" borderId="16" xfId="6" applyFont="1" applyBorder="1" applyAlignment="1">
      <alignment horizontal="left" vertical="center"/>
    </xf>
    <xf numFmtId="180" fontId="24" fillId="0" borderId="15" xfId="3" applyNumberFormat="1" applyFont="1" applyBorder="1" applyAlignment="1">
      <alignment horizontal="left" vertical="center"/>
    </xf>
    <xf numFmtId="180" fontId="24" fillId="0" borderId="16" xfId="3" applyNumberFormat="1" applyFont="1" applyBorder="1" applyAlignment="1">
      <alignment horizontal="left" vertical="center"/>
    </xf>
    <xf numFmtId="41" fontId="24" fillId="0" borderId="15" xfId="6" applyFont="1" applyFill="1" applyBorder="1" applyAlignment="1">
      <alignment horizontal="left" vertical="center"/>
    </xf>
    <xf numFmtId="41" fontId="24" fillId="0" borderId="12" xfId="6" applyFont="1" applyFill="1" applyBorder="1" applyAlignment="1">
      <alignment horizontal="left" vertical="center"/>
    </xf>
    <xf numFmtId="41" fontId="24" fillId="0" borderId="16" xfId="6" applyFont="1" applyFill="1" applyBorder="1" applyAlignment="1">
      <alignment horizontal="left" vertical="center"/>
    </xf>
    <xf numFmtId="180" fontId="24" fillId="0" borderId="15" xfId="3" applyNumberFormat="1" applyFont="1" applyFill="1" applyBorder="1" applyAlignment="1">
      <alignment horizontal="left" vertical="center"/>
    </xf>
    <xf numFmtId="180" fontId="24" fillId="0" borderId="16" xfId="3" applyNumberFormat="1" applyFont="1" applyFill="1" applyBorder="1" applyAlignment="1">
      <alignment horizontal="left" vertical="center"/>
    </xf>
    <xf numFmtId="43" fontId="10" fillId="0" borderId="14" xfId="3" applyNumberFormat="1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41" fontId="14" fillId="0" borderId="14" xfId="3" applyNumberFormat="1" applyFont="1" applyBorder="1" applyAlignment="1">
      <alignment horizontal="center" vertical="center"/>
    </xf>
    <xf numFmtId="0" fontId="14" fillId="0" borderId="0" xfId="3" applyFont="1" applyAlignment="1">
      <alignment horizontal="center" vertical="center"/>
    </xf>
    <xf numFmtId="180" fontId="25" fillId="0" borderId="15" xfId="3" applyNumberFormat="1" applyFont="1" applyBorder="1" applyAlignment="1">
      <alignment horizontal="left" vertical="center" shrinkToFit="1"/>
    </xf>
    <xf numFmtId="180" fontId="25" fillId="0" borderId="16" xfId="3" applyNumberFormat="1" applyFont="1" applyBorder="1" applyAlignment="1">
      <alignment horizontal="left" vertical="center" shrinkToFit="1"/>
    </xf>
    <xf numFmtId="41" fontId="25" fillId="0" borderId="15" xfId="6" applyFont="1" applyBorder="1" applyAlignment="1">
      <alignment horizontal="left" vertical="center"/>
    </xf>
    <xf numFmtId="41" fontId="25" fillId="0" borderId="12" xfId="6" applyFont="1" applyBorder="1" applyAlignment="1">
      <alignment horizontal="left" vertical="center"/>
    </xf>
    <xf numFmtId="41" fontId="25" fillId="0" borderId="16" xfId="6" applyFont="1" applyBorder="1" applyAlignment="1">
      <alignment horizontal="left" vertical="center"/>
    </xf>
    <xf numFmtId="180" fontId="25" fillId="0" borderId="15" xfId="3" applyNumberFormat="1" applyFont="1" applyBorder="1" applyAlignment="1">
      <alignment horizontal="left" vertical="center"/>
    </xf>
    <xf numFmtId="180" fontId="25" fillId="0" borderId="16" xfId="3" applyNumberFormat="1" applyFont="1" applyBorder="1" applyAlignment="1">
      <alignment horizontal="left" vertical="center"/>
    </xf>
    <xf numFmtId="41" fontId="7" fillId="0" borderId="14" xfId="3" applyNumberFormat="1" applyFont="1" applyBorder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10" fillId="0" borderId="14" xfId="3" applyFont="1" applyBorder="1" applyAlignment="1">
      <alignment horizontal="center" vertical="center"/>
    </xf>
    <xf numFmtId="0" fontId="10" fillId="0" borderId="0" xfId="3" applyFont="1" applyBorder="1" applyAlignment="1">
      <alignment horizontal="center" vertical="center"/>
    </xf>
    <xf numFmtId="180" fontId="24" fillId="0" borderId="13" xfId="3" applyNumberFormat="1" applyFont="1" applyBorder="1" applyAlignment="1">
      <alignment horizontal="center" vertical="center" wrapText="1"/>
    </xf>
    <xf numFmtId="180" fontId="24" fillId="0" borderId="2" xfId="3" applyNumberFormat="1" applyFont="1" applyBorder="1" applyAlignment="1">
      <alignment horizontal="center" vertical="center" wrapText="1"/>
    </xf>
    <xf numFmtId="180" fontId="24" fillId="0" borderId="3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25" fillId="8" borderId="1" xfId="3" applyFont="1" applyFill="1" applyBorder="1" applyAlignment="1">
      <alignment horizontal="center" vertical="center"/>
    </xf>
    <xf numFmtId="180" fontId="25" fillId="8" borderId="1" xfId="3" applyNumberFormat="1" applyFont="1" applyFill="1" applyBorder="1" applyAlignment="1">
      <alignment horizontal="center" vertical="center"/>
    </xf>
    <xf numFmtId="180" fontId="25" fillId="8" borderId="15" xfId="3" applyNumberFormat="1" applyFont="1" applyFill="1" applyBorder="1" applyAlignment="1">
      <alignment horizontal="center" vertical="center"/>
    </xf>
    <xf numFmtId="180" fontId="25" fillId="8" borderId="12" xfId="3" applyNumberFormat="1" applyFont="1" applyFill="1" applyBorder="1" applyAlignment="1">
      <alignment horizontal="center" vertical="center"/>
    </xf>
    <xf numFmtId="180" fontId="25" fillId="8" borderId="16" xfId="3" applyNumberFormat="1" applyFont="1" applyFill="1" applyBorder="1" applyAlignment="1">
      <alignment horizontal="center" vertical="center"/>
    </xf>
    <xf numFmtId="177" fontId="4" fillId="4" borderId="1" xfId="0" applyNumberFormat="1" applyFont="1" applyFill="1" applyBorder="1" applyAlignment="1">
      <alignment horizontal="center" vertical="center"/>
    </xf>
    <xf numFmtId="177" fontId="4" fillId="4" borderId="13" xfId="0" applyNumberFormat="1" applyFont="1" applyFill="1" applyBorder="1" applyAlignment="1">
      <alignment horizontal="center" vertical="center" shrinkToFit="1"/>
    </xf>
    <xf numFmtId="177" fontId="4" fillId="4" borderId="3" xfId="0" applyNumberFormat="1" applyFont="1" applyFill="1" applyBorder="1" applyAlignment="1">
      <alignment horizontal="center" vertical="center" shrinkToFit="1"/>
    </xf>
  </cellXfs>
  <cellStyles count="9">
    <cellStyle name="백분율 3" xfId="8"/>
    <cellStyle name="쉼표 [0] 2" xfId="4"/>
    <cellStyle name="쉼표 [0] 2 2" xfId="6"/>
    <cellStyle name="쉼표 [0] 3" xfId="7"/>
    <cellStyle name="표준" xfId="0" builtinId="0"/>
    <cellStyle name="표준 2 2" xfId="2"/>
    <cellStyle name="표준 2 2 2" xfId="5"/>
    <cellStyle name="표준 2 3" xfId="3"/>
    <cellStyle name="표준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%20&#48276;&#44228;&#50612;&#47536;&#51060;&#44277;&#50896;%20&#45236;&#50669;&#49436;(&#51068;&#49345;&#44048;&#49324;&#5120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서"/>
      <sheetName val="예정공정표"/>
      <sheetName val="원가계산서"/>
      <sheetName val="내역서"/>
      <sheetName val="일위대가목록"/>
      <sheetName val="일위대가_호표"/>
      <sheetName val="일위대가_산근"/>
      <sheetName val="중기사용료목록"/>
      <sheetName val="중기사용료"/>
      <sheetName val="중기기초자료"/>
      <sheetName val="자재"/>
      <sheetName val="노임"/>
      <sheetName val="경비"/>
      <sheetName val="자재조서"/>
      <sheetName val="전역변수"/>
      <sheetName val="중기전역변수"/>
      <sheetName val="Sheet3"/>
    </sheetNames>
    <sheetDataSet>
      <sheetData sheetId="0"/>
      <sheetData sheetId="1"/>
      <sheetData sheetId="2"/>
      <sheetData sheetId="3"/>
      <sheetData sheetId="4">
        <row r="7">
          <cell r="H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318"/>
  <sheetViews>
    <sheetView view="pageBreakPreview" zoomScaleNormal="100" zoomScaleSheetLayoutView="100" workbookViewId="0"/>
  </sheetViews>
  <sheetFormatPr defaultRowHeight="17.100000000000001" customHeight="1"/>
  <cols>
    <col min="1" max="1" width="9.33203125" style="31"/>
    <col min="2" max="2" width="4.5" style="31" customWidth="1"/>
    <col min="3" max="3" width="8.6640625" style="31" customWidth="1"/>
    <col min="4" max="5" width="16.6640625" style="31" customWidth="1"/>
    <col min="6" max="6" width="6.6640625" style="31" customWidth="1"/>
    <col min="7" max="7" width="11.6640625" style="31" customWidth="1"/>
    <col min="8" max="9" width="16.6640625" style="31" customWidth="1"/>
    <col min="10" max="10" width="6.6640625" style="31" customWidth="1"/>
    <col min="11" max="11" width="11.83203125" style="31" customWidth="1"/>
    <col min="12" max="16384" width="9.33203125" style="31"/>
  </cols>
  <sheetData>
    <row r="1" spans="1:21" ht="23.1" customHeight="1">
      <c r="A1" s="29" t="s">
        <v>787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21" s="35" customFormat="1" ht="23.1" customHeight="1">
      <c r="A2" s="32"/>
      <c r="B2" s="33" t="s">
        <v>788</v>
      </c>
      <c r="C2" s="34" t="s">
        <v>918</v>
      </c>
      <c r="D2" s="34"/>
      <c r="E2" s="34"/>
      <c r="F2" s="34"/>
      <c r="G2" s="34"/>
      <c r="H2" s="34"/>
      <c r="I2" s="34"/>
      <c r="J2" s="34"/>
      <c r="K2" s="34"/>
      <c r="L2" s="34"/>
      <c r="M2" s="32"/>
      <c r="N2" s="32"/>
    </row>
    <row r="3" spans="1:21" s="35" customFormat="1" ht="20.100000000000001" customHeight="1">
      <c r="A3" s="32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2"/>
      <c r="N3" s="32"/>
    </row>
    <row r="4" spans="1:21" ht="23.1" customHeight="1">
      <c r="A4" s="29" t="s">
        <v>789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0"/>
      <c r="N4" s="30"/>
    </row>
    <row r="5" spans="1:21" ht="23.1" customHeight="1">
      <c r="A5" s="29"/>
      <c r="B5" s="150" t="s">
        <v>790</v>
      </c>
      <c r="C5" s="151" t="s">
        <v>919</v>
      </c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36"/>
    </row>
    <row r="6" spans="1:21" s="35" customFormat="1" ht="20.100000000000001" customHeight="1">
      <c r="A6" s="32"/>
      <c r="B6" s="150"/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36"/>
    </row>
    <row r="7" spans="1:21" ht="23.1" customHeight="1">
      <c r="A7" s="29" t="s">
        <v>791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0"/>
      <c r="N7" s="30"/>
      <c r="P7" s="37"/>
      <c r="Q7" s="152"/>
      <c r="R7" s="152"/>
      <c r="S7" s="152"/>
      <c r="T7" s="152"/>
      <c r="U7" s="152"/>
    </row>
    <row r="8" spans="1:21" s="35" customFormat="1" ht="23.1" customHeight="1">
      <c r="A8" s="32" t="s">
        <v>792</v>
      </c>
      <c r="B8" s="34" t="s">
        <v>793</v>
      </c>
      <c r="C8" s="34" t="s">
        <v>794</v>
      </c>
      <c r="D8" s="34"/>
      <c r="E8" s="34"/>
      <c r="F8" s="34"/>
      <c r="G8" s="34"/>
      <c r="H8" s="34"/>
      <c r="I8" s="34"/>
      <c r="J8" s="34"/>
      <c r="K8" s="34"/>
      <c r="L8" s="34"/>
      <c r="M8" s="32"/>
      <c r="N8" s="32"/>
      <c r="P8" s="38"/>
      <c r="Q8" s="152"/>
      <c r="R8" s="152"/>
      <c r="S8" s="152"/>
      <c r="T8" s="152"/>
      <c r="U8" s="152"/>
    </row>
    <row r="9" spans="1:21" s="35" customFormat="1" ht="23.1" customHeight="1">
      <c r="A9" s="32"/>
      <c r="B9" s="34" t="s">
        <v>795</v>
      </c>
      <c r="C9" s="34" t="s">
        <v>796</v>
      </c>
      <c r="D9" s="34"/>
      <c r="E9" s="34"/>
      <c r="F9" s="34"/>
      <c r="G9" s="34"/>
      <c r="H9" s="34"/>
      <c r="I9" s="34"/>
      <c r="J9" s="34"/>
      <c r="K9" s="34"/>
      <c r="L9" s="34"/>
      <c r="M9" s="32"/>
      <c r="N9" s="32"/>
      <c r="P9" s="38"/>
      <c r="Q9" s="152"/>
      <c r="R9" s="152"/>
      <c r="S9" s="152"/>
      <c r="T9" s="152"/>
      <c r="U9" s="152"/>
    </row>
    <row r="10" spans="1:21" s="35" customFormat="1" ht="23.1" customHeight="1">
      <c r="A10" s="32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2"/>
      <c r="N10" s="32"/>
      <c r="Q10" s="152"/>
      <c r="R10" s="152"/>
      <c r="S10" s="152"/>
      <c r="T10" s="152"/>
      <c r="U10" s="152"/>
    </row>
    <row r="11" spans="1:21" s="35" customFormat="1" ht="23.1" customHeight="1">
      <c r="A11" s="29" t="s">
        <v>797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2"/>
      <c r="N11" s="32"/>
      <c r="Q11" s="152"/>
      <c r="R11" s="152"/>
      <c r="S11" s="152"/>
      <c r="T11" s="152"/>
      <c r="U11" s="152"/>
    </row>
    <row r="12" spans="1:21" s="35" customFormat="1" ht="23.1" customHeight="1">
      <c r="A12" s="29"/>
      <c r="B12" s="34" t="s">
        <v>798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2"/>
      <c r="N12" s="32"/>
      <c r="Q12" s="152"/>
      <c r="R12" s="152"/>
      <c r="S12" s="152"/>
      <c r="T12" s="152"/>
      <c r="U12" s="152"/>
    </row>
    <row r="13" spans="1:21" s="35" customFormat="1" ht="23.1" customHeight="1">
      <c r="A13" s="29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2"/>
      <c r="N13" s="32"/>
      <c r="Q13" s="152"/>
      <c r="R13" s="152"/>
      <c r="S13" s="152"/>
      <c r="T13" s="152"/>
      <c r="U13" s="152"/>
    </row>
    <row r="14" spans="1:21" ht="23.1" customHeight="1">
      <c r="A14" s="29" t="s">
        <v>799</v>
      </c>
      <c r="B14" s="34"/>
      <c r="C14" s="34"/>
      <c r="D14" s="34"/>
      <c r="E14" s="30"/>
      <c r="F14" s="30"/>
      <c r="G14" s="30"/>
      <c r="H14" s="30"/>
      <c r="I14" s="30"/>
      <c r="J14" s="30"/>
      <c r="K14" s="30"/>
      <c r="L14" s="30"/>
      <c r="M14" s="30"/>
      <c r="N14" s="30"/>
      <c r="Q14" s="152"/>
      <c r="R14" s="152"/>
      <c r="S14" s="152"/>
      <c r="T14" s="152"/>
      <c r="U14" s="152"/>
    </row>
    <row r="15" spans="1:21" ht="23.1" customHeight="1">
      <c r="A15" s="29"/>
      <c r="B15" s="34" t="s">
        <v>793</v>
      </c>
      <c r="C15" s="39" t="s">
        <v>800</v>
      </c>
      <c r="D15" s="34"/>
      <c r="E15" s="30"/>
      <c r="F15" s="30"/>
      <c r="G15" s="30"/>
      <c r="H15" s="30"/>
      <c r="I15" s="30"/>
      <c r="J15" s="30"/>
      <c r="K15" s="30"/>
      <c r="L15" s="30"/>
      <c r="M15" s="30"/>
      <c r="N15" s="30"/>
    </row>
    <row r="16" spans="1:21" ht="23.1" customHeight="1">
      <c r="A16" s="29"/>
      <c r="B16" s="34" t="s">
        <v>801</v>
      </c>
      <c r="C16" s="34" t="s">
        <v>802</v>
      </c>
      <c r="D16" s="40"/>
      <c r="E16" s="30"/>
      <c r="F16" s="30"/>
      <c r="G16" s="30"/>
      <c r="H16" s="30"/>
      <c r="I16" s="30"/>
      <c r="J16" s="30"/>
      <c r="K16" s="30"/>
      <c r="L16" s="30"/>
      <c r="M16" s="30"/>
      <c r="N16" s="30"/>
    </row>
    <row r="17" spans="1:23" s="35" customFormat="1" ht="23.1" customHeight="1">
      <c r="A17" s="29"/>
      <c r="B17" s="34" t="s">
        <v>803</v>
      </c>
      <c r="C17" s="34" t="s">
        <v>804</v>
      </c>
      <c r="D17" s="34"/>
      <c r="E17" s="34"/>
      <c r="F17" s="34"/>
      <c r="G17" s="34"/>
      <c r="H17" s="34"/>
      <c r="I17" s="34"/>
      <c r="J17" s="34"/>
      <c r="K17" s="34"/>
      <c r="L17" s="34"/>
      <c r="M17" s="32"/>
      <c r="N17" s="32"/>
      <c r="W17" s="35" t="s">
        <v>786</v>
      </c>
    </row>
    <row r="18" spans="1:23" s="35" customFormat="1" ht="23.1" customHeight="1">
      <c r="A18" s="29"/>
      <c r="B18" s="34"/>
      <c r="C18" s="34" t="s">
        <v>805</v>
      </c>
      <c r="D18" s="34"/>
      <c r="E18" s="34"/>
      <c r="F18" s="34"/>
      <c r="G18" s="34"/>
      <c r="H18" s="34"/>
      <c r="I18" s="34"/>
      <c r="J18" s="34"/>
      <c r="K18" s="34"/>
      <c r="L18" s="34"/>
      <c r="M18" s="32"/>
      <c r="N18" s="32"/>
    </row>
    <row r="19" spans="1:23" ht="23.1" customHeight="1">
      <c r="A19" s="29"/>
      <c r="B19" s="34" t="s">
        <v>806</v>
      </c>
      <c r="C19" s="34" t="s">
        <v>807</v>
      </c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</row>
    <row r="20" spans="1:23" ht="23.1" customHeight="1">
      <c r="A20" s="30"/>
      <c r="B20" s="34" t="s">
        <v>808</v>
      </c>
      <c r="C20" s="34" t="s">
        <v>809</v>
      </c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1" spans="1:23" ht="23.1" customHeight="1">
      <c r="A21" s="30"/>
      <c r="B21" s="34" t="s">
        <v>810</v>
      </c>
      <c r="C21" s="34" t="s">
        <v>811</v>
      </c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</row>
    <row r="22" spans="1:23" ht="24" customHeight="1"/>
    <row r="23" spans="1:23" ht="24" customHeight="1"/>
    <row r="24" spans="1:23" ht="24" customHeight="1"/>
    <row r="25" spans="1:23" ht="24" customHeight="1"/>
    <row r="26" spans="1:23" ht="24" customHeight="1"/>
    <row r="27" spans="1:23" ht="24" customHeight="1"/>
    <row r="28" spans="1:23" ht="24" customHeight="1"/>
    <row r="29" spans="1:23" ht="24" customHeight="1"/>
    <row r="30" spans="1:23" ht="24" customHeight="1"/>
    <row r="31" spans="1:23" ht="24" customHeight="1"/>
    <row r="32" spans="1:23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  <row r="266" ht="24" customHeight="1"/>
    <row r="267" ht="24" customHeight="1"/>
    <row r="268" ht="24" customHeight="1"/>
    <row r="269" ht="24" customHeight="1"/>
    <row r="270" ht="24" customHeight="1"/>
    <row r="271" ht="24" customHeight="1"/>
    <row r="272" ht="24" customHeight="1"/>
    <row r="273" ht="24" customHeight="1"/>
    <row r="274" ht="24" customHeight="1"/>
    <row r="275" ht="24" customHeight="1"/>
    <row r="276" ht="24" customHeight="1"/>
    <row r="277" ht="24" customHeight="1"/>
    <row r="278" ht="24" customHeight="1"/>
    <row r="279" ht="24" customHeight="1"/>
    <row r="280" ht="24" customHeight="1"/>
    <row r="281" ht="24" customHeight="1"/>
    <row r="282" ht="24" customHeight="1"/>
    <row r="283" ht="24" customHeight="1"/>
    <row r="284" ht="24" customHeight="1"/>
    <row r="285" ht="24" customHeight="1"/>
    <row r="286" ht="24" customHeight="1"/>
    <row r="287" ht="24" customHeight="1"/>
    <row r="288" ht="24" customHeight="1"/>
    <row r="289" ht="24" customHeight="1"/>
    <row r="290" ht="24" customHeight="1"/>
    <row r="291" ht="24" customHeight="1"/>
    <row r="292" ht="24" customHeight="1"/>
    <row r="293" ht="24" customHeight="1"/>
    <row r="294" ht="24" customHeight="1"/>
    <row r="295" ht="24" customHeight="1"/>
    <row r="296" ht="24" customHeight="1"/>
    <row r="297" ht="24" customHeight="1"/>
    <row r="298" ht="24" customHeight="1"/>
    <row r="299" ht="24" customHeight="1"/>
    <row r="300" ht="24" customHeight="1"/>
    <row r="301" ht="24" customHeight="1"/>
    <row r="302" ht="24" customHeight="1"/>
    <row r="303" ht="24" customHeight="1"/>
    <row r="304" ht="24" customHeight="1"/>
    <row r="305" ht="24" customHeight="1"/>
    <row r="306" ht="24" customHeight="1"/>
    <row r="307" ht="24" customHeight="1"/>
    <row r="308" ht="24" customHeight="1"/>
    <row r="309" ht="24" customHeight="1"/>
    <row r="310" ht="24" customHeight="1"/>
    <row r="311" ht="24" customHeight="1"/>
    <row r="312" ht="24" customHeight="1"/>
    <row r="313" ht="24" customHeight="1"/>
    <row r="314" ht="24" customHeight="1"/>
    <row r="315" ht="24" customHeight="1"/>
    <row r="316" ht="24" customHeight="1"/>
    <row r="317" ht="24" customHeight="1"/>
    <row r="318" ht="24" customHeight="1"/>
  </sheetData>
  <mergeCells count="3">
    <mergeCell ref="B5:B6"/>
    <mergeCell ref="C5:M6"/>
    <mergeCell ref="Q7:U14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T185"/>
  <sheetViews>
    <sheetView view="pageBreakPreview" zoomScale="85" zoomScaleNormal="100" zoomScaleSheetLayoutView="85" workbookViewId="0">
      <selection activeCell="A2" sqref="A2:L2"/>
    </sheetView>
  </sheetViews>
  <sheetFormatPr defaultColWidth="10.33203125" defaultRowHeight="17.100000000000001" customHeight="1"/>
  <cols>
    <col min="1" max="1" width="17" style="31" customWidth="1"/>
    <col min="2" max="2" width="9.6640625" style="31" customWidth="1"/>
    <col min="3" max="12" width="13.83203125" style="31" customWidth="1"/>
    <col min="13" max="13" width="13.33203125" style="31" hidden="1" customWidth="1"/>
    <col min="14" max="253" width="9.33203125" style="31" customWidth="1"/>
    <col min="254" max="254" width="17" style="31" customWidth="1"/>
    <col min="255" max="255" width="9.6640625" style="31" customWidth="1"/>
    <col min="256" max="16384" width="10.33203125" style="31"/>
  </cols>
  <sheetData>
    <row r="1" spans="1:20" ht="30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20" ht="30" customHeight="1">
      <c r="A2" s="153" t="s">
        <v>812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</row>
    <row r="3" spans="1:20" ht="30" customHeight="1">
      <c r="A3" s="41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20" ht="30" customHeight="1" thickBot="1">
      <c r="A4" s="42" t="s">
        <v>813</v>
      </c>
      <c r="B4" s="43" t="s">
        <v>917</v>
      </c>
      <c r="C4" s="43"/>
      <c r="D4" s="43"/>
      <c r="E4" s="43"/>
      <c r="F4" s="43"/>
      <c r="G4" s="43"/>
      <c r="H4" s="44"/>
      <c r="I4" s="44"/>
      <c r="J4" s="44"/>
      <c r="K4" s="45"/>
      <c r="L4" s="45"/>
    </row>
    <row r="5" spans="1:20" ht="35.1" customHeight="1" thickBot="1">
      <c r="A5" s="155" t="s">
        <v>814</v>
      </c>
      <c r="B5" s="157" t="s">
        <v>815</v>
      </c>
      <c r="C5" s="159" t="s">
        <v>816</v>
      </c>
      <c r="D5" s="160"/>
      <c r="E5" s="160"/>
      <c r="F5" s="160"/>
      <c r="G5" s="160"/>
      <c r="H5" s="160"/>
      <c r="I5" s="160"/>
      <c r="J5" s="160"/>
      <c r="K5" s="160"/>
      <c r="L5" s="161" t="s">
        <v>817</v>
      </c>
    </row>
    <row r="6" spans="1:20" ht="35.1" customHeight="1" thickBot="1">
      <c r="A6" s="156"/>
      <c r="B6" s="158"/>
      <c r="C6" s="46">
        <v>10</v>
      </c>
      <c r="D6" s="46">
        <v>20</v>
      </c>
      <c r="E6" s="46">
        <v>30</v>
      </c>
      <c r="F6" s="46">
        <v>40</v>
      </c>
      <c r="G6" s="46">
        <v>50</v>
      </c>
      <c r="H6" s="46">
        <v>60</v>
      </c>
      <c r="I6" s="46">
        <v>70</v>
      </c>
      <c r="J6" s="46">
        <v>80</v>
      </c>
      <c r="K6" s="46">
        <v>90</v>
      </c>
      <c r="L6" s="162"/>
    </row>
    <row r="7" spans="1:20" ht="45" customHeight="1">
      <c r="A7" s="47" t="s">
        <v>818</v>
      </c>
      <c r="B7" s="48">
        <v>0.1</v>
      </c>
      <c r="C7" s="49"/>
      <c r="D7" s="50"/>
      <c r="E7" s="50"/>
      <c r="F7" s="50"/>
      <c r="G7" s="50"/>
      <c r="H7" s="50"/>
      <c r="I7" s="50"/>
      <c r="J7" s="50"/>
      <c r="K7" s="50"/>
      <c r="L7" s="47"/>
    </row>
    <row r="8" spans="1:20" ht="45" customHeight="1">
      <c r="A8" s="47" t="s">
        <v>819</v>
      </c>
      <c r="B8" s="48">
        <v>0.2</v>
      </c>
      <c r="C8" s="51"/>
      <c r="D8" s="52"/>
      <c r="E8" s="52"/>
      <c r="F8" s="53"/>
      <c r="G8" s="53"/>
      <c r="H8" s="53"/>
      <c r="I8" s="54"/>
      <c r="J8" s="54"/>
      <c r="K8" s="54"/>
      <c r="L8" s="55"/>
    </row>
    <row r="9" spans="1:20" ht="45" customHeight="1">
      <c r="A9" s="47" t="s">
        <v>820</v>
      </c>
      <c r="B9" s="48">
        <v>0.3</v>
      </c>
      <c r="C9" s="51"/>
      <c r="D9" s="56"/>
      <c r="E9" s="53"/>
      <c r="F9" s="52"/>
      <c r="G9" s="52"/>
      <c r="H9" s="52"/>
      <c r="I9" s="53"/>
      <c r="J9" s="53"/>
      <c r="K9" s="53"/>
      <c r="L9" s="55"/>
    </row>
    <row r="10" spans="1:20" ht="45" customHeight="1">
      <c r="A10" s="47" t="s">
        <v>821</v>
      </c>
      <c r="B10" s="48">
        <v>0.3</v>
      </c>
      <c r="C10" s="51"/>
      <c r="D10" s="56"/>
      <c r="E10" s="53"/>
      <c r="F10" s="53"/>
      <c r="G10" s="53"/>
      <c r="H10" s="52"/>
      <c r="I10" s="52"/>
      <c r="J10" s="52"/>
      <c r="K10" s="53"/>
      <c r="L10" s="55"/>
    </row>
    <row r="11" spans="1:20" ht="45" customHeight="1">
      <c r="A11" s="47" t="s">
        <v>822</v>
      </c>
      <c r="B11" s="48">
        <v>0.1</v>
      </c>
      <c r="C11" s="51"/>
      <c r="D11" s="56"/>
      <c r="E11" s="53"/>
      <c r="F11" s="53"/>
      <c r="G11" s="53"/>
      <c r="H11" s="53"/>
      <c r="I11" s="53"/>
      <c r="J11" s="53"/>
      <c r="K11" s="52"/>
      <c r="L11" s="55"/>
    </row>
    <row r="12" spans="1:20" ht="45" customHeight="1" thickBot="1">
      <c r="A12" s="57" t="s">
        <v>823</v>
      </c>
      <c r="B12" s="58">
        <f>SUM(B7:B11)</f>
        <v>1.0000000000000002</v>
      </c>
      <c r="C12" s="59"/>
      <c r="D12" s="60"/>
      <c r="E12" s="61"/>
      <c r="F12" s="61"/>
      <c r="G12" s="61"/>
      <c r="H12" s="61"/>
      <c r="I12" s="61"/>
      <c r="J12" s="61"/>
      <c r="K12" s="61"/>
      <c r="L12" s="57"/>
    </row>
    <row r="13" spans="1:20" ht="35.1" customHeight="1">
      <c r="A13" s="62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2"/>
    </row>
    <row r="14" spans="1:20" ht="24.95" customHeight="1">
      <c r="A14" s="64"/>
      <c r="B14" s="64"/>
      <c r="C14" s="65"/>
      <c r="D14" s="65"/>
      <c r="E14" s="64"/>
      <c r="F14" s="64"/>
      <c r="G14" s="64"/>
      <c r="H14" s="64"/>
      <c r="I14" s="64"/>
      <c r="J14" s="64"/>
      <c r="K14" s="64"/>
      <c r="L14" s="64"/>
    </row>
    <row r="15" spans="1:20" ht="24.95" customHeight="1">
      <c r="A15" s="64"/>
      <c r="B15" s="64"/>
      <c r="C15" s="64"/>
      <c r="D15" s="64"/>
      <c r="E15" s="65"/>
      <c r="F15" s="65"/>
      <c r="G15" s="64"/>
      <c r="H15" s="64"/>
      <c r="I15" s="64"/>
      <c r="J15" s="64"/>
      <c r="K15" s="64"/>
      <c r="L15" s="64"/>
    </row>
    <row r="16" spans="1:20" ht="24.95" customHeight="1">
      <c r="A16" s="64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T16" s="31" t="s">
        <v>786</v>
      </c>
    </row>
    <row r="17" spans="1:12" ht="24.95" customHeight="1">
      <c r="A17" s="64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</row>
    <row r="18" spans="1:12" ht="24.95" customHeight="1"/>
    <row r="19" spans="1:12" ht="24.95" customHeight="1"/>
    <row r="20" spans="1:12" ht="24.95" customHeight="1"/>
    <row r="21" spans="1:12" ht="24.95" customHeight="1"/>
    <row r="22" spans="1:12" ht="24.95" customHeight="1"/>
    <row r="23" spans="1:12" ht="24.95" customHeight="1"/>
    <row r="24" spans="1:12" ht="24.95" customHeight="1"/>
    <row r="25" spans="1:12" ht="24.95" customHeight="1"/>
    <row r="26" spans="1:12" ht="24.95" customHeight="1"/>
    <row r="27" spans="1:12" ht="24.95" customHeight="1"/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13.5"/>
    <row r="44" ht="13.5"/>
    <row r="45" ht="13.5"/>
    <row r="46" ht="13.5"/>
    <row r="47" ht="13.5"/>
    <row r="48" ht="13.5"/>
    <row r="49" ht="13.5"/>
    <row r="50" ht="13.5"/>
    <row r="51" ht="13.5"/>
    <row r="52" ht="13.5"/>
    <row r="53" ht="13.5"/>
    <row r="54" ht="13.5"/>
    <row r="55" ht="13.5"/>
    <row r="56" ht="13.5"/>
    <row r="57" ht="13.5"/>
    <row r="58" ht="13.5"/>
    <row r="59" ht="13.5"/>
    <row r="60" ht="13.5"/>
    <row r="61" ht="13.5"/>
    <row r="62" ht="13.5"/>
    <row r="63" ht="13.5"/>
    <row r="64" ht="13.5"/>
    <row r="65" ht="13.5"/>
    <row r="66" ht="13.5"/>
    <row r="67" ht="13.5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23" ht="13.5"/>
    <row r="124" ht="13.5"/>
    <row r="125" ht="13.5"/>
    <row r="126" ht="13.5"/>
    <row r="127" ht="13.5"/>
    <row r="128" ht="13.5"/>
    <row r="129" ht="13.5"/>
    <row r="130" ht="13.5"/>
    <row r="131" ht="13.5"/>
    <row r="132" ht="13.5"/>
    <row r="133" ht="13.5"/>
    <row r="134" ht="13.5"/>
    <row r="135" ht="13.5"/>
    <row r="136" ht="13.5"/>
    <row r="137" ht="13.5"/>
    <row r="138" ht="13.5"/>
    <row r="139" ht="13.5"/>
    <row r="140" ht="13.5"/>
    <row r="141" ht="13.5"/>
    <row r="142" ht="13.5"/>
    <row r="143" ht="13.5"/>
    <row r="144" ht="13.5"/>
    <row r="145" ht="13.5"/>
    <row r="146" ht="13.5"/>
    <row r="147" ht="13.5"/>
    <row r="148" ht="13.5"/>
    <row r="149" ht="13.5"/>
    <row r="150" ht="13.5"/>
    <row r="151" ht="13.5"/>
    <row r="152" ht="13.5"/>
    <row r="153" ht="13.5"/>
    <row r="154" ht="13.5"/>
    <row r="155" ht="13.5"/>
    <row r="156" ht="13.5"/>
    <row r="157" ht="13.5"/>
    <row r="158" ht="13.5"/>
    <row r="159" ht="13.5"/>
    <row r="160" ht="13.5"/>
    <row r="161" ht="13.5"/>
    <row r="162" ht="13.5"/>
    <row r="163" ht="13.5"/>
    <row r="164" ht="13.5"/>
    <row r="165" ht="13.5"/>
    <row r="166" ht="13.5"/>
    <row r="167" ht="13.5"/>
    <row r="168" ht="13.5"/>
    <row r="169" ht="13.5"/>
    <row r="170" ht="13.5"/>
    <row r="171" ht="13.5"/>
    <row r="172" ht="13.5"/>
    <row r="173" ht="13.5"/>
    <row r="174" ht="13.5"/>
    <row r="175" ht="13.5"/>
    <row r="176" ht="13.5"/>
    <row r="177" ht="13.5"/>
    <row r="178" ht="13.5"/>
    <row r="179" ht="13.5"/>
    <row r="180" ht="13.5"/>
    <row r="181" ht="13.5"/>
    <row r="182" ht="13.5"/>
    <row r="183" ht="13.5"/>
    <row r="184" ht="13.5"/>
    <row r="185" ht="13.5"/>
  </sheetData>
  <mergeCells count="5">
    <mergeCell ref="A2:L2"/>
    <mergeCell ref="A5:A6"/>
    <mergeCell ref="B5:B6"/>
    <mergeCell ref="C5:K5"/>
    <mergeCell ref="L5:L6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Q189"/>
  <sheetViews>
    <sheetView view="pageBreakPreview" zoomScaleNormal="100" zoomScaleSheetLayoutView="100" workbookViewId="0">
      <selection sqref="A1:K1"/>
    </sheetView>
  </sheetViews>
  <sheetFormatPr defaultRowHeight="17.100000000000001" customHeight="1"/>
  <cols>
    <col min="1" max="1" width="4" style="144" customWidth="1"/>
    <col min="2" max="2" width="4" style="141" customWidth="1"/>
    <col min="3" max="3" width="5.83203125" style="141" customWidth="1"/>
    <col min="4" max="4" width="29" style="141" customWidth="1"/>
    <col min="5" max="5" width="15.33203125" style="142" bestFit="1" customWidth="1"/>
    <col min="6" max="6" width="3.83203125" style="142" customWidth="1"/>
    <col min="7" max="7" width="9" style="142" bestFit="1" customWidth="1"/>
    <col min="8" max="8" width="7" style="142" customWidth="1"/>
    <col min="9" max="9" width="16.33203125" style="141" customWidth="1"/>
    <col min="10" max="10" width="17.6640625" style="143" bestFit="1" customWidth="1"/>
    <col min="11" max="11" width="3.6640625" style="140" customWidth="1"/>
    <col min="12" max="13" width="0" style="144" hidden="1" customWidth="1"/>
    <col min="14" max="14" width="18" style="145" bestFit="1" customWidth="1"/>
    <col min="15" max="15" width="28.5" style="144" customWidth="1"/>
    <col min="16" max="16" width="16.33203125" style="144" bestFit="1" customWidth="1"/>
    <col min="17" max="17" width="18" style="144" bestFit="1" customWidth="1"/>
    <col min="18" max="16384" width="9.33203125" style="144"/>
  </cols>
  <sheetData>
    <row r="1" spans="1:16" s="66" customFormat="1" ht="21" customHeight="1">
      <c r="A1" s="191" t="s">
        <v>824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N1" s="67"/>
    </row>
    <row r="2" spans="1:16" s="72" customFormat="1" ht="21" customHeight="1">
      <c r="A2" s="34" t="s">
        <v>918</v>
      </c>
      <c r="B2" s="68"/>
      <c r="C2" s="68"/>
      <c r="D2" s="68"/>
      <c r="E2" s="69"/>
      <c r="F2" s="69"/>
      <c r="G2" s="69"/>
      <c r="H2" s="69"/>
      <c r="I2" s="68"/>
      <c r="J2" s="70" t="s">
        <v>825</v>
      </c>
      <c r="K2" s="71"/>
      <c r="N2" s="73"/>
    </row>
    <row r="3" spans="1:16" s="75" customFormat="1" ht="21.95" customHeight="1">
      <c r="A3" s="192" t="s">
        <v>826</v>
      </c>
      <c r="B3" s="192"/>
      <c r="C3" s="193" t="s">
        <v>827</v>
      </c>
      <c r="D3" s="193"/>
      <c r="E3" s="194" t="s">
        <v>828</v>
      </c>
      <c r="F3" s="195"/>
      <c r="G3" s="195"/>
      <c r="H3" s="195"/>
      <c r="I3" s="74" t="s">
        <v>829</v>
      </c>
      <c r="J3" s="194" t="s">
        <v>830</v>
      </c>
      <c r="K3" s="196"/>
      <c r="N3" s="76"/>
    </row>
    <row r="4" spans="1:16" s="66" customFormat="1" ht="21.95" customHeight="1">
      <c r="A4" s="77"/>
      <c r="B4" s="188" t="s">
        <v>831</v>
      </c>
      <c r="C4" s="78" t="s">
        <v>832</v>
      </c>
      <c r="D4" s="79" t="s">
        <v>833</v>
      </c>
      <c r="E4" s="80"/>
      <c r="F4" s="81"/>
      <c r="G4" s="81"/>
      <c r="H4" s="81"/>
      <c r="I4" s="147">
        <f>내역서!H5</f>
        <v>0</v>
      </c>
      <c r="J4" s="166"/>
      <c r="K4" s="167"/>
      <c r="N4" s="67"/>
      <c r="O4" s="82"/>
    </row>
    <row r="5" spans="1:16" s="66" customFormat="1" ht="21.95" customHeight="1">
      <c r="A5" s="83"/>
      <c r="B5" s="189"/>
      <c r="C5" s="78" t="s">
        <v>834</v>
      </c>
      <c r="D5" s="79" t="s">
        <v>835</v>
      </c>
      <c r="E5" s="80"/>
      <c r="F5" s="81"/>
      <c r="G5" s="81"/>
      <c r="H5" s="81"/>
      <c r="I5" s="147">
        <f>[1]내역서!H7</f>
        <v>0</v>
      </c>
      <c r="J5" s="166"/>
      <c r="K5" s="167"/>
      <c r="N5" s="67"/>
      <c r="O5" s="82"/>
    </row>
    <row r="6" spans="1:16" s="72" customFormat="1" ht="21.95" customHeight="1">
      <c r="A6" s="83"/>
      <c r="B6" s="190"/>
      <c r="C6" s="84" t="s">
        <v>836</v>
      </c>
      <c r="D6" s="85" t="s">
        <v>837</v>
      </c>
      <c r="E6" s="86"/>
      <c r="F6" s="87"/>
      <c r="G6" s="87"/>
      <c r="H6" s="87"/>
      <c r="I6" s="148">
        <f>I4+I5</f>
        <v>0</v>
      </c>
      <c r="J6" s="182" t="s">
        <v>838</v>
      </c>
      <c r="K6" s="183"/>
      <c r="N6" s="73"/>
      <c r="O6" s="88"/>
    </row>
    <row r="7" spans="1:16" s="66" customFormat="1" ht="21.95" customHeight="1">
      <c r="A7" s="83"/>
      <c r="B7" s="188" t="s">
        <v>839</v>
      </c>
      <c r="C7" s="78" t="s">
        <v>840</v>
      </c>
      <c r="D7" s="79" t="s">
        <v>841</v>
      </c>
      <c r="E7" s="80"/>
      <c r="F7" s="81"/>
      <c r="G7" s="81"/>
      <c r="H7" s="81"/>
      <c r="I7" s="147">
        <f>내역서!J5</f>
        <v>0</v>
      </c>
      <c r="J7" s="166"/>
      <c r="K7" s="167"/>
      <c r="N7" s="67"/>
      <c r="O7" s="89"/>
    </row>
    <row r="8" spans="1:16" s="66" customFormat="1" ht="21.95" customHeight="1">
      <c r="A8" s="83"/>
      <c r="B8" s="189"/>
      <c r="C8" s="78" t="s">
        <v>842</v>
      </c>
      <c r="D8" s="79" t="s">
        <v>843</v>
      </c>
      <c r="E8" s="80">
        <f>I7</f>
        <v>0</v>
      </c>
      <c r="F8" s="81" t="s">
        <v>844</v>
      </c>
      <c r="G8" s="90">
        <v>14.3</v>
      </c>
      <c r="H8" s="91" t="s">
        <v>845</v>
      </c>
      <c r="I8" s="149">
        <f>ROUNDDOWN(E8*G8%,0)</f>
        <v>0</v>
      </c>
      <c r="J8" s="166" t="s">
        <v>846</v>
      </c>
      <c r="K8" s="167"/>
      <c r="N8" s="67"/>
      <c r="O8" s="89"/>
    </row>
    <row r="9" spans="1:16" s="72" customFormat="1" ht="21.95" customHeight="1">
      <c r="A9" s="83"/>
      <c r="B9" s="190"/>
      <c r="C9" s="84" t="s">
        <v>847</v>
      </c>
      <c r="D9" s="85" t="s">
        <v>848</v>
      </c>
      <c r="E9" s="86"/>
      <c r="F9" s="87"/>
      <c r="G9" s="92"/>
      <c r="H9" s="87"/>
      <c r="I9" s="148">
        <f>I7+I8</f>
        <v>0</v>
      </c>
      <c r="J9" s="182" t="s">
        <v>849</v>
      </c>
      <c r="K9" s="183"/>
      <c r="N9" s="73"/>
      <c r="O9" s="89"/>
      <c r="P9" s="93"/>
    </row>
    <row r="10" spans="1:16" s="66" customFormat="1" ht="21.95" customHeight="1">
      <c r="A10" s="83"/>
      <c r="B10" s="188" t="s">
        <v>850</v>
      </c>
      <c r="C10" s="78" t="s">
        <v>851</v>
      </c>
      <c r="D10" s="79" t="s">
        <v>852</v>
      </c>
      <c r="E10" s="80"/>
      <c r="F10" s="81"/>
      <c r="G10" s="81"/>
      <c r="H10" s="81"/>
      <c r="I10" s="147">
        <f>내역서!L5</f>
        <v>0</v>
      </c>
      <c r="J10" s="166"/>
      <c r="K10" s="167"/>
      <c r="N10" s="67"/>
      <c r="O10" s="89"/>
    </row>
    <row r="11" spans="1:16" s="72" customFormat="1" ht="21.95" customHeight="1">
      <c r="A11" s="83"/>
      <c r="B11" s="190"/>
      <c r="C11" s="84" t="s">
        <v>853</v>
      </c>
      <c r="D11" s="85" t="s">
        <v>837</v>
      </c>
      <c r="E11" s="86"/>
      <c r="F11" s="87"/>
      <c r="G11" s="92"/>
      <c r="H11" s="87"/>
      <c r="I11" s="148">
        <f>I10</f>
        <v>0</v>
      </c>
      <c r="J11" s="182" t="s">
        <v>854</v>
      </c>
      <c r="K11" s="183"/>
      <c r="N11" s="67"/>
      <c r="O11" s="89"/>
    </row>
    <row r="12" spans="1:16" s="66" customFormat="1" ht="21.95" customHeight="1">
      <c r="A12" s="83"/>
      <c r="B12" s="94"/>
      <c r="C12" s="78" t="s">
        <v>855</v>
      </c>
      <c r="D12" s="95" t="s">
        <v>856</v>
      </c>
      <c r="E12" s="80">
        <f>I9</f>
        <v>0</v>
      </c>
      <c r="F12" s="81" t="s">
        <v>857</v>
      </c>
      <c r="G12" s="90">
        <v>3.56</v>
      </c>
      <c r="H12" s="96" t="s">
        <v>845</v>
      </c>
      <c r="I12" s="149">
        <f t="shared" ref="I12:I23" si="0">INT(E12*G12%)</f>
        <v>0</v>
      </c>
      <c r="J12" s="166" t="s">
        <v>858</v>
      </c>
      <c r="K12" s="167"/>
      <c r="N12" s="67"/>
      <c r="O12" s="89"/>
    </row>
    <row r="13" spans="1:16" s="66" customFormat="1" ht="21.95" customHeight="1">
      <c r="A13" s="83"/>
      <c r="B13" s="97"/>
      <c r="C13" s="78" t="s">
        <v>859</v>
      </c>
      <c r="D13" s="95" t="s">
        <v>860</v>
      </c>
      <c r="E13" s="98">
        <f>I6+I7</f>
        <v>0</v>
      </c>
      <c r="F13" s="99" t="s">
        <v>857</v>
      </c>
      <c r="G13" s="100">
        <f>1.85*1.2</f>
        <v>2.2200000000000002</v>
      </c>
      <c r="H13" s="96" t="s">
        <v>845</v>
      </c>
      <c r="I13" s="149">
        <f t="shared" si="0"/>
        <v>0</v>
      </c>
      <c r="J13" s="166" t="s">
        <v>861</v>
      </c>
      <c r="K13" s="167"/>
      <c r="N13" s="67"/>
      <c r="O13" s="89"/>
    </row>
    <row r="14" spans="1:16" s="66" customFormat="1" ht="21.95" customHeight="1">
      <c r="A14" s="83"/>
      <c r="B14" s="97"/>
      <c r="C14" s="78"/>
      <c r="D14" s="95" t="s">
        <v>862</v>
      </c>
      <c r="E14" s="98"/>
      <c r="F14" s="99" t="s">
        <v>863</v>
      </c>
      <c r="G14" s="100">
        <v>1.85</v>
      </c>
      <c r="H14" s="96" t="s">
        <v>864</v>
      </c>
      <c r="I14" s="149">
        <f>INT(E14*G14%)</f>
        <v>0</v>
      </c>
      <c r="J14" s="166" t="s">
        <v>865</v>
      </c>
      <c r="K14" s="167"/>
      <c r="N14" s="67"/>
      <c r="O14" s="89"/>
    </row>
    <row r="15" spans="1:16" s="66" customFormat="1" ht="21.95" customHeight="1">
      <c r="A15" s="83"/>
      <c r="B15" s="97"/>
      <c r="C15" s="78" t="s">
        <v>866</v>
      </c>
      <c r="D15" s="101" t="s">
        <v>867</v>
      </c>
      <c r="E15" s="98">
        <f>I9</f>
        <v>0</v>
      </c>
      <c r="F15" s="81" t="s">
        <v>857</v>
      </c>
      <c r="G15" s="90">
        <v>1.01</v>
      </c>
      <c r="H15" s="91" t="s">
        <v>845</v>
      </c>
      <c r="I15" s="149">
        <f t="shared" si="0"/>
        <v>0</v>
      </c>
      <c r="J15" s="166" t="s">
        <v>868</v>
      </c>
      <c r="K15" s="167"/>
      <c r="L15" s="186">
        <f>E15*G15/100</f>
        <v>0</v>
      </c>
      <c r="M15" s="187"/>
      <c r="N15" s="67"/>
      <c r="O15" s="89"/>
    </row>
    <row r="16" spans="1:16" s="66" customFormat="1" ht="21.95" customHeight="1">
      <c r="A16" s="83"/>
      <c r="B16" s="97"/>
      <c r="C16" s="78" t="s">
        <v>869</v>
      </c>
      <c r="D16" s="101" t="s">
        <v>870</v>
      </c>
      <c r="E16" s="98">
        <f>I6+I9</f>
        <v>0</v>
      </c>
      <c r="F16" s="81" t="s">
        <v>844</v>
      </c>
      <c r="G16" s="90">
        <v>5.5</v>
      </c>
      <c r="H16" s="91" t="s">
        <v>845</v>
      </c>
      <c r="I16" s="149">
        <f t="shared" si="0"/>
        <v>0</v>
      </c>
      <c r="J16" s="171" t="s">
        <v>871</v>
      </c>
      <c r="K16" s="172"/>
      <c r="L16" s="186">
        <f>E16*G16/100</f>
        <v>0</v>
      </c>
      <c r="M16" s="187"/>
      <c r="N16" s="67"/>
      <c r="O16" s="89"/>
    </row>
    <row r="17" spans="1:17" s="66" customFormat="1" ht="21.95" customHeight="1">
      <c r="A17" s="83"/>
      <c r="B17" s="97"/>
      <c r="C17" s="78" t="s">
        <v>872</v>
      </c>
      <c r="D17" s="101" t="s">
        <v>873</v>
      </c>
      <c r="E17" s="98">
        <f>I4+I7+I11</f>
        <v>0</v>
      </c>
      <c r="F17" s="81" t="s">
        <v>844</v>
      </c>
      <c r="G17" s="90">
        <v>0.3</v>
      </c>
      <c r="H17" s="91" t="s">
        <v>864</v>
      </c>
      <c r="I17" s="149">
        <f t="shared" si="0"/>
        <v>0</v>
      </c>
      <c r="J17" s="171" t="s">
        <v>874</v>
      </c>
      <c r="K17" s="172"/>
      <c r="L17" s="102"/>
      <c r="M17" s="75"/>
      <c r="N17" s="67"/>
      <c r="O17" s="89"/>
    </row>
    <row r="18" spans="1:17" s="66" customFormat="1" ht="21.95" customHeight="1">
      <c r="A18" s="83"/>
      <c r="B18" s="97"/>
      <c r="C18" s="78" t="s">
        <v>875</v>
      </c>
      <c r="D18" s="101" t="s">
        <v>876</v>
      </c>
      <c r="E18" s="98">
        <f>I7</f>
        <v>0</v>
      </c>
      <c r="F18" s="81" t="s">
        <v>857</v>
      </c>
      <c r="G18" s="90">
        <v>3.5449999999999999</v>
      </c>
      <c r="H18" s="91" t="s">
        <v>864</v>
      </c>
      <c r="I18" s="149">
        <f t="shared" si="0"/>
        <v>0</v>
      </c>
      <c r="J18" s="171" t="s">
        <v>877</v>
      </c>
      <c r="K18" s="172"/>
      <c r="L18" s="102"/>
      <c r="M18" s="75"/>
      <c r="N18" s="67"/>
      <c r="O18" s="89"/>
    </row>
    <row r="19" spans="1:17" s="66" customFormat="1" ht="21.95" customHeight="1">
      <c r="A19" s="83"/>
      <c r="B19" s="97"/>
      <c r="C19" s="78" t="s">
        <v>878</v>
      </c>
      <c r="D19" s="101" t="s">
        <v>879</v>
      </c>
      <c r="E19" s="98">
        <f>I7</f>
        <v>0</v>
      </c>
      <c r="F19" s="81" t="s">
        <v>857</v>
      </c>
      <c r="G19" s="90">
        <v>4.5</v>
      </c>
      <c r="H19" s="91" t="s">
        <v>864</v>
      </c>
      <c r="I19" s="149">
        <f t="shared" si="0"/>
        <v>0</v>
      </c>
      <c r="J19" s="171" t="s">
        <v>880</v>
      </c>
      <c r="K19" s="172"/>
      <c r="L19" s="102"/>
      <c r="M19" s="75"/>
      <c r="N19" s="67"/>
      <c r="O19" s="89"/>
    </row>
    <row r="20" spans="1:17" s="66" customFormat="1" ht="21.95" customHeight="1">
      <c r="A20" s="83"/>
      <c r="B20" s="97"/>
      <c r="C20" s="78" t="s">
        <v>881</v>
      </c>
      <c r="D20" s="101" t="s">
        <v>882</v>
      </c>
      <c r="E20" s="98">
        <f>I18</f>
        <v>0</v>
      </c>
      <c r="F20" s="81" t="s">
        <v>857</v>
      </c>
      <c r="G20" s="90">
        <v>12.95</v>
      </c>
      <c r="H20" s="91" t="s">
        <v>845</v>
      </c>
      <c r="I20" s="149">
        <f t="shared" si="0"/>
        <v>0</v>
      </c>
      <c r="J20" s="171" t="s">
        <v>883</v>
      </c>
      <c r="K20" s="172"/>
      <c r="L20" s="102"/>
      <c r="M20" s="75"/>
      <c r="N20" s="67"/>
      <c r="O20" s="89"/>
    </row>
    <row r="21" spans="1:17" s="66" customFormat="1" ht="21.95" customHeight="1">
      <c r="A21" s="83"/>
      <c r="B21" s="97"/>
      <c r="C21" s="78" t="s">
        <v>884</v>
      </c>
      <c r="D21" s="103" t="s">
        <v>885</v>
      </c>
      <c r="E21" s="98">
        <f>I4+I7+I11</f>
        <v>0</v>
      </c>
      <c r="F21" s="81" t="s">
        <v>857</v>
      </c>
      <c r="G21" s="90">
        <v>0.18</v>
      </c>
      <c r="H21" s="91" t="s">
        <v>864</v>
      </c>
      <c r="I21" s="149">
        <f t="shared" si="0"/>
        <v>0</v>
      </c>
      <c r="J21" s="171" t="s">
        <v>886</v>
      </c>
      <c r="K21" s="172"/>
      <c r="L21" s="104"/>
      <c r="M21" s="75"/>
      <c r="N21" s="67"/>
      <c r="O21" s="89"/>
    </row>
    <row r="22" spans="1:17" s="66" customFormat="1" ht="21.95" customHeight="1">
      <c r="A22" s="83"/>
      <c r="B22" s="97"/>
      <c r="C22" s="78" t="s">
        <v>887</v>
      </c>
      <c r="D22" s="103" t="s">
        <v>888</v>
      </c>
      <c r="E22" s="98">
        <f>I4+I7+I11</f>
        <v>0</v>
      </c>
      <c r="F22" s="81" t="s">
        <v>857</v>
      </c>
      <c r="G22" s="90">
        <v>8.1000000000000003E-2</v>
      </c>
      <c r="H22" s="91" t="s">
        <v>864</v>
      </c>
      <c r="I22" s="149">
        <f t="shared" si="0"/>
        <v>0</v>
      </c>
      <c r="J22" s="171" t="s">
        <v>889</v>
      </c>
      <c r="K22" s="172"/>
      <c r="L22" s="104"/>
      <c r="M22" s="75"/>
      <c r="N22" s="67"/>
      <c r="O22" s="89"/>
    </row>
    <row r="23" spans="1:17" s="66" customFormat="1" ht="21.95" customHeight="1">
      <c r="A23" s="83"/>
      <c r="B23" s="97"/>
      <c r="C23" s="78" t="s">
        <v>890</v>
      </c>
      <c r="D23" s="103" t="s">
        <v>891</v>
      </c>
      <c r="E23" s="98">
        <f>I7</f>
        <v>0</v>
      </c>
      <c r="F23" s="81" t="s">
        <v>857</v>
      </c>
      <c r="G23" s="90">
        <v>2.2999999999999998</v>
      </c>
      <c r="H23" s="91" t="s">
        <v>864</v>
      </c>
      <c r="I23" s="149">
        <f t="shared" si="0"/>
        <v>0</v>
      </c>
      <c r="J23" s="171"/>
      <c r="K23" s="172"/>
      <c r="L23" s="104"/>
      <c r="M23" s="75"/>
      <c r="N23" s="67"/>
      <c r="O23" s="89"/>
    </row>
    <row r="24" spans="1:17" s="66" customFormat="1" ht="21.95" customHeight="1">
      <c r="A24" s="83"/>
      <c r="B24" s="97"/>
      <c r="C24" s="78" t="s">
        <v>892</v>
      </c>
      <c r="D24" s="101" t="s">
        <v>893</v>
      </c>
      <c r="E24" s="98">
        <f>내역서!F20</f>
        <v>0</v>
      </c>
      <c r="F24" s="81"/>
      <c r="G24" s="90"/>
      <c r="H24" s="91"/>
      <c r="I24" s="149">
        <f>E24</f>
        <v>0</v>
      </c>
      <c r="J24" s="105"/>
      <c r="K24" s="106"/>
      <c r="L24" s="104"/>
      <c r="M24" s="75"/>
      <c r="N24" s="67"/>
      <c r="O24" s="89"/>
    </row>
    <row r="25" spans="1:17" s="72" customFormat="1" ht="21.95" customHeight="1">
      <c r="A25" s="107"/>
      <c r="B25" s="108"/>
      <c r="C25" s="84" t="s">
        <v>894</v>
      </c>
      <c r="D25" s="109" t="s">
        <v>895</v>
      </c>
      <c r="E25" s="86"/>
      <c r="F25" s="87"/>
      <c r="G25" s="87"/>
      <c r="H25" s="87"/>
      <c r="I25" s="148">
        <f>I12+I13+I15+I16+I17+I18+I19+I20+I21+I22+I23+I24</f>
        <v>0</v>
      </c>
      <c r="J25" s="177" t="s">
        <v>896</v>
      </c>
      <c r="K25" s="178"/>
      <c r="N25" s="67"/>
      <c r="O25" s="89"/>
    </row>
    <row r="26" spans="1:17" s="72" customFormat="1" ht="21.95" customHeight="1">
      <c r="A26" s="179" t="s">
        <v>897</v>
      </c>
      <c r="B26" s="180"/>
      <c r="C26" s="180"/>
      <c r="D26" s="181"/>
      <c r="E26" s="110"/>
      <c r="F26" s="111"/>
      <c r="G26" s="111"/>
      <c r="H26" s="111"/>
      <c r="I26" s="148">
        <f>INT(I6+I9+I11+I25)</f>
        <v>0</v>
      </c>
      <c r="J26" s="182" t="s">
        <v>898</v>
      </c>
      <c r="K26" s="183"/>
      <c r="L26" s="184" t="e">
        <f>#REF!+#REF!+#REF!</f>
        <v>#REF!</v>
      </c>
      <c r="M26" s="185"/>
      <c r="N26" s="67"/>
      <c r="O26" s="89"/>
      <c r="Q26" s="112"/>
    </row>
    <row r="27" spans="1:17" s="66" customFormat="1" ht="21.95" customHeight="1">
      <c r="A27" s="163" t="s">
        <v>899</v>
      </c>
      <c r="B27" s="164"/>
      <c r="C27" s="164"/>
      <c r="D27" s="165"/>
      <c r="E27" s="113">
        <f>I26</f>
        <v>0</v>
      </c>
      <c r="F27" s="114" t="s">
        <v>844</v>
      </c>
      <c r="G27" s="115">
        <v>6</v>
      </c>
      <c r="H27" s="114" t="s">
        <v>864</v>
      </c>
      <c r="I27" s="149">
        <f>INT(E27*G27/100)</f>
        <v>0</v>
      </c>
      <c r="J27" s="166" t="s">
        <v>900</v>
      </c>
      <c r="K27" s="167"/>
      <c r="L27" s="173" t="e">
        <f>#REF!*4.7%</f>
        <v>#REF!</v>
      </c>
      <c r="M27" s="174"/>
      <c r="N27" s="67"/>
      <c r="O27" s="89"/>
    </row>
    <row r="28" spans="1:17" s="66" customFormat="1" ht="21.95" customHeight="1">
      <c r="A28" s="163" t="s">
        <v>901</v>
      </c>
      <c r="B28" s="164"/>
      <c r="C28" s="164"/>
      <c r="D28" s="165"/>
      <c r="E28" s="113">
        <f>I9+I11+I25+I27</f>
        <v>0</v>
      </c>
      <c r="F28" s="114" t="s">
        <v>844</v>
      </c>
      <c r="G28" s="116">
        <v>13</v>
      </c>
      <c r="H28" s="114" t="s">
        <v>902</v>
      </c>
      <c r="I28" s="149">
        <f>INT(E28*13/100)</f>
        <v>0</v>
      </c>
      <c r="J28" s="166" t="s">
        <v>903</v>
      </c>
      <c r="K28" s="167"/>
      <c r="L28" s="173">
        <f>E28*G28%</f>
        <v>0</v>
      </c>
      <c r="M28" s="174"/>
      <c r="N28" s="67"/>
      <c r="O28" s="89"/>
      <c r="Q28" s="117"/>
    </row>
    <row r="29" spans="1:17" s="66" customFormat="1" ht="21.95" customHeight="1">
      <c r="A29" s="163" t="s">
        <v>904</v>
      </c>
      <c r="B29" s="164"/>
      <c r="C29" s="164"/>
      <c r="D29" s="165"/>
      <c r="E29" s="113">
        <f>I26+I27+I28</f>
        <v>0</v>
      </c>
      <c r="F29" s="114"/>
      <c r="G29" s="116"/>
      <c r="H29" s="114"/>
      <c r="I29" s="147">
        <f>INT(E29)</f>
        <v>0</v>
      </c>
      <c r="J29" s="118" t="s">
        <v>905</v>
      </c>
      <c r="K29" s="119"/>
      <c r="L29" s="120"/>
      <c r="M29" s="75"/>
      <c r="N29" s="67"/>
      <c r="O29" s="89"/>
      <c r="Q29" s="117"/>
    </row>
    <row r="30" spans="1:17" s="66" customFormat="1" ht="21.95" customHeight="1">
      <c r="A30" s="163" t="s">
        <v>906</v>
      </c>
      <c r="B30" s="164"/>
      <c r="C30" s="164"/>
      <c r="D30" s="165"/>
      <c r="E30" s="113"/>
      <c r="F30" s="114"/>
      <c r="G30" s="116"/>
      <c r="H30" s="114"/>
      <c r="I30" s="147">
        <f>E30</f>
        <v>0</v>
      </c>
      <c r="J30" s="166"/>
      <c r="K30" s="167"/>
      <c r="L30" s="120"/>
      <c r="M30" s="75"/>
      <c r="N30" s="67"/>
      <c r="O30" s="89"/>
      <c r="Q30" s="117"/>
    </row>
    <row r="31" spans="1:17" s="66" customFormat="1" ht="21.95" customHeight="1">
      <c r="A31" s="163" t="s">
        <v>907</v>
      </c>
      <c r="B31" s="164"/>
      <c r="C31" s="164"/>
      <c r="D31" s="165"/>
      <c r="E31" s="113">
        <f>I29+I30</f>
        <v>0</v>
      </c>
      <c r="F31" s="114"/>
      <c r="G31" s="116"/>
      <c r="H31" s="114"/>
      <c r="I31" s="147">
        <f>E31</f>
        <v>0</v>
      </c>
      <c r="J31" s="166" t="s">
        <v>908</v>
      </c>
      <c r="K31" s="167"/>
      <c r="L31" s="120"/>
      <c r="M31" s="75"/>
      <c r="N31" s="67"/>
      <c r="O31" s="89"/>
      <c r="Q31" s="117"/>
    </row>
    <row r="32" spans="1:17" s="121" customFormat="1" ht="21.95" customHeight="1">
      <c r="A32" s="163" t="s">
        <v>909</v>
      </c>
      <c r="B32" s="164"/>
      <c r="C32" s="164"/>
      <c r="D32" s="165"/>
      <c r="E32" s="113">
        <f>I31</f>
        <v>0</v>
      </c>
      <c r="F32" s="114" t="s">
        <v>844</v>
      </c>
      <c r="G32" s="116">
        <v>10</v>
      </c>
      <c r="H32" s="114" t="s">
        <v>902</v>
      </c>
      <c r="I32" s="147">
        <f>INT(E32*G32%)</f>
        <v>0</v>
      </c>
      <c r="J32" s="166" t="s">
        <v>910</v>
      </c>
      <c r="K32" s="167"/>
      <c r="L32" s="175" t="e">
        <f>#REF!+#REF!</f>
        <v>#REF!</v>
      </c>
      <c r="M32" s="176"/>
      <c r="N32" s="67"/>
      <c r="O32" s="89"/>
      <c r="Q32" s="122"/>
    </row>
    <row r="33" spans="1:17" s="126" customFormat="1" ht="21.95" customHeight="1">
      <c r="A33" s="168" t="s">
        <v>911</v>
      </c>
      <c r="B33" s="169"/>
      <c r="C33" s="169"/>
      <c r="D33" s="170"/>
      <c r="E33" s="123">
        <f>I31+I32</f>
        <v>0</v>
      </c>
      <c r="F33" s="124"/>
      <c r="G33" s="125"/>
      <c r="H33" s="124"/>
      <c r="I33" s="149">
        <f>INT(E33)</f>
        <v>0</v>
      </c>
      <c r="J33" s="171" t="s">
        <v>912</v>
      </c>
      <c r="K33" s="172"/>
      <c r="N33" s="67"/>
      <c r="O33" s="89"/>
      <c r="Q33" s="127"/>
    </row>
    <row r="34" spans="1:17" s="126" customFormat="1" ht="21.95" customHeight="1">
      <c r="A34" s="163" t="s">
        <v>913</v>
      </c>
      <c r="B34" s="164"/>
      <c r="C34" s="164"/>
      <c r="D34" s="165"/>
      <c r="E34" s="123">
        <f>내역서!F28</f>
        <v>0</v>
      </c>
      <c r="F34" s="124"/>
      <c r="G34" s="125"/>
      <c r="H34" s="124"/>
      <c r="I34" s="147">
        <f>E34</f>
        <v>0</v>
      </c>
      <c r="J34" s="105"/>
      <c r="K34" s="106"/>
      <c r="N34" s="67"/>
      <c r="O34" s="89"/>
      <c r="Q34" s="127"/>
    </row>
    <row r="35" spans="1:17" s="128" customFormat="1" ht="21.95" customHeight="1">
      <c r="A35" s="163" t="s">
        <v>914</v>
      </c>
      <c r="B35" s="164"/>
      <c r="C35" s="164"/>
      <c r="D35" s="165"/>
      <c r="E35" s="113">
        <f>내역서!F29</f>
        <v>0</v>
      </c>
      <c r="F35" s="114"/>
      <c r="G35" s="116"/>
      <c r="H35" s="114"/>
      <c r="I35" s="147">
        <f>E35</f>
        <v>0</v>
      </c>
      <c r="J35" s="166"/>
      <c r="K35" s="167"/>
      <c r="N35" s="67"/>
      <c r="O35" s="89"/>
      <c r="Q35" s="129"/>
    </row>
    <row r="36" spans="1:17" s="121" customFormat="1" ht="21.95" customHeight="1">
      <c r="A36" s="163" t="s">
        <v>915</v>
      </c>
      <c r="B36" s="164"/>
      <c r="C36" s="164"/>
      <c r="D36" s="165"/>
      <c r="E36" s="113">
        <f>I33+I34+I35</f>
        <v>0</v>
      </c>
      <c r="F36" s="114"/>
      <c r="G36" s="116"/>
      <c r="H36" s="114"/>
      <c r="I36" s="147">
        <f>INT(E36)</f>
        <v>0</v>
      </c>
      <c r="J36" s="166" t="s">
        <v>916</v>
      </c>
      <c r="K36" s="167"/>
      <c r="N36" s="67"/>
      <c r="O36" s="89"/>
      <c r="Q36" s="130"/>
    </row>
    <row r="37" spans="1:17" s="135" customFormat="1" ht="21" customHeight="1">
      <c r="A37" s="131"/>
      <c r="B37" s="132"/>
      <c r="C37" s="132"/>
      <c r="D37" s="132"/>
      <c r="E37" s="133"/>
      <c r="F37" s="133"/>
      <c r="G37" s="133"/>
      <c r="H37" s="133"/>
      <c r="I37" s="132"/>
      <c r="J37" s="134"/>
      <c r="K37" s="131"/>
      <c r="N37" s="136"/>
      <c r="O37" s="137"/>
    </row>
    <row r="38" spans="1:17" s="138" customFormat="1" ht="21" customHeight="1">
      <c r="A38" s="131"/>
      <c r="B38" s="132"/>
      <c r="C38" s="132"/>
      <c r="D38" s="132"/>
      <c r="E38" s="133"/>
      <c r="F38" s="133"/>
      <c r="G38" s="133"/>
      <c r="H38" s="133"/>
      <c r="I38" s="132"/>
      <c r="J38" s="134"/>
      <c r="K38" s="131"/>
      <c r="N38" s="139"/>
    </row>
    <row r="39" spans="1:17" s="138" customFormat="1" ht="21" customHeight="1">
      <c r="A39" s="140"/>
      <c r="B39" s="141"/>
      <c r="C39" s="141"/>
      <c r="D39" s="141"/>
      <c r="E39" s="142"/>
      <c r="F39" s="142"/>
      <c r="G39" s="142"/>
      <c r="H39" s="142"/>
      <c r="I39" s="141"/>
      <c r="J39" s="143"/>
      <c r="K39" s="140"/>
      <c r="N39" s="139"/>
    </row>
    <row r="40" spans="1:17" ht="21" customHeight="1">
      <c r="A40" s="140"/>
    </row>
    <row r="41" spans="1:17" ht="21" customHeight="1"/>
    <row r="42" spans="1:17" ht="21" customHeight="1">
      <c r="J42" s="146"/>
    </row>
    <row r="43" spans="1:17" ht="21" customHeight="1"/>
    <row r="44" spans="1:17" ht="21" customHeight="1"/>
    <row r="45" spans="1:17" ht="21" customHeight="1"/>
    <row r="46" spans="1:17" ht="21" customHeight="1"/>
    <row r="47" spans="1:17" ht="21" customHeight="1"/>
    <row r="48" spans="1:17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</sheetData>
  <mergeCells count="55">
    <mergeCell ref="B4:B6"/>
    <mergeCell ref="J4:K4"/>
    <mergeCell ref="J5:K5"/>
    <mergeCell ref="J6:K6"/>
    <mergeCell ref="A1:K1"/>
    <mergeCell ref="A3:B3"/>
    <mergeCell ref="C3:D3"/>
    <mergeCell ref="E3:H3"/>
    <mergeCell ref="J3:K3"/>
    <mergeCell ref="J16:K16"/>
    <mergeCell ref="L16:M16"/>
    <mergeCell ref="B7:B9"/>
    <mergeCell ref="J7:K7"/>
    <mergeCell ref="J8:K8"/>
    <mergeCell ref="J9:K9"/>
    <mergeCell ref="B10:B11"/>
    <mergeCell ref="J10:K10"/>
    <mergeCell ref="J11:K11"/>
    <mergeCell ref="J12:K12"/>
    <mergeCell ref="J13:K13"/>
    <mergeCell ref="J14:K14"/>
    <mergeCell ref="J15:K15"/>
    <mergeCell ref="L15:M15"/>
    <mergeCell ref="A27:D27"/>
    <mergeCell ref="J27:K27"/>
    <mergeCell ref="L27:M27"/>
    <mergeCell ref="J17:K17"/>
    <mergeCell ref="J18:K18"/>
    <mergeCell ref="J19:K19"/>
    <mergeCell ref="J20:K20"/>
    <mergeCell ref="J21:K21"/>
    <mergeCell ref="J22:K22"/>
    <mergeCell ref="J23:K23"/>
    <mergeCell ref="J25:K25"/>
    <mergeCell ref="A26:D26"/>
    <mergeCell ref="J26:K26"/>
    <mergeCell ref="L26:M26"/>
    <mergeCell ref="A33:D33"/>
    <mergeCell ref="J33:K33"/>
    <mergeCell ref="A28:D28"/>
    <mergeCell ref="J28:K28"/>
    <mergeCell ref="L28:M28"/>
    <mergeCell ref="A29:D29"/>
    <mergeCell ref="A30:D30"/>
    <mergeCell ref="J30:K30"/>
    <mergeCell ref="A31:D31"/>
    <mergeCell ref="J31:K31"/>
    <mergeCell ref="A32:D32"/>
    <mergeCell ref="J32:K32"/>
    <mergeCell ref="L32:M32"/>
    <mergeCell ref="A34:D34"/>
    <mergeCell ref="A35:D35"/>
    <mergeCell ref="J35:K35"/>
    <mergeCell ref="A36:D36"/>
    <mergeCell ref="J36:K36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92"/>
  <sheetViews>
    <sheetView tabSelected="1" view="pageBreakPreview" zoomScaleNormal="100" zoomScaleSheetLayoutView="100" workbookViewId="0"/>
  </sheetViews>
  <sheetFormatPr defaultRowHeight="18.399999999999999" customHeight="1"/>
  <cols>
    <col min="1" max="1" width="22.33203125" style="27" customWidth="1"/>
    <col min="2" max="2" width="20" style="27" customWidth="1"/>
    <col min="3" max="3" width="8" customWidth="1"/>
    <col min="4" max="4" width="5" customWidth="1"/>
    <col min="5" max="12" width="13" customWidth="1"/>
    <col min="13" max="13" width="10" style="27" customWidth="1"/>
    <col min="14" max="59" width="0" hidden="1" customWidth="1"/>
  </cols>
  <sheetData>
    <row r="1" spans="1:61" ht="18.399999999999999" customHeight="1">
      <c r="A1" s="27" t="s">
        <v>105</v>
      </c>
    </row>
    <row r="2" spans="1:61" ht="18.399999999999999" customHeight="1">
      <c r="A2" s="198" t="s">
        <v>129</v>
      </c>
      <c r="B2" s="198" t="s">
        <v>355</v>
      </c>
      <c r="C2" s="197" t="s">
        <v>466</v>
      </c>
      <c r="D2" s="197" t="s">
        <v>295</v>
      </c>
      <c r="E2" s="197" t="s">
        <v>761</v>
      </c>
      <c r="F2" s="197" t="s">
        <v>785</v>
      </c>
      <c r="G2" s="197" t="s">
        <v>531</v>
      </c>
      <c r="H2" s="197" t="s">
        <v>785</v>
      </c>
      <c r="I2" s="197" t="s">
        <v>327</v>
      </c>
      <c r="J2" s="197" t="s">
        <v>785</v>
      </c>
      <c r="K2" s="197" t="s">
        <v>47</v>
      </c>
      <c r="L2" s="197" t="s">
        <v>785</v>
      </c>
      <c r="M2" s="198" t="s">
        <v>209</v>
      </c>
    </row>
    <row r="3" spans="1:61" ht="18.399999999999999" customHeight="1">
      <c r="A3" s="199"/>
      <c r="B3" s="199"/>
      <c r="C3" s="197" t="s">
        <v>785</v>
      </c>
      <c r="D3" s="197" t="s">
        <v>785</v>
      </c>
      <c r="E3" s="26" t="s">
        <v>181</v>
      </c>
      <c r="F3" s="26" t="s">
        <v>112</v>
      </c>
      <c r="G3" s="26" t="s">
        <v>181</v>
      </c>
      <c r="H3" s="26" t="s">
        <v>112</v>
      </c>
      <c r="I3" s="26" t="s">
        <v>181</v>
      </c>
      <c r="J3" s="26" t="s">
        <v>112</v>
      </c>
      <c r="K3" s="26" t="s">
        <v>181</v>
      </c>
      <c r="L3" s="26" t="s">
        <v>112</v>
      </c>
      <c r="M3" s="199"/>
      <c r="S3" s="1" t="s">
        <v>251</v>
      </c>
      <c r="T3" s="1" t="s">
        <v>568</v>
      </c>
      <c r="U3" s="1" t="s">
        <v>265</v>
      </c>
      <c r="V3" s="1" t="s">
        <v>113</v>
      </c>
      <c r="W3" s="1" t="s">
        <v>43</v>
      </c>
      <c r="X3" s="1" t="s">
        <v>243</v>
      </c>
      <c r="Y3" s="1" t="s">
        <v>530</v>
      </c>
    </row>
    <row r="4" spans="1:61" ht="18.399999999999999" customHeight="1">
      <c r="A4" s="28" t="s">
        <v>281</v>
      </c>
      <c r="B4" s="28" t="s">
        <v>785</v>
      </c>
      <c r="C4" s="2">
        <v>1</v>
      </c>
      <c r="D4" s="2" t="s">
        <v>619</v>
      </c>
      <c r="E4" s="25"/>
      <c r="F4" s="22">
        <f t="shared" ref="F4:F33" si="0">H4+J4+L4</f>
        <v>0</v>
      </c>
      <c r="G4" s="25"/>
      <c r="H4" s="22">
        <f>TRUNC(H5+H7+H8+H9+H10+H11+H12+H13+H15+H16+H17+H18+H19+H20+H21+H22+H24+H26+H28+H29,0)</f>
        <v>0</v>
      </c>
      <c r="I4" s="25"/>
      <c r="J4" s="22">
        <f>TRUNC(J5+J7+J8+J9+J10+J11+J12+J13+J15+J16+J17+J18+J19+J20+J21+J22+J24+J26+J28+J29,0)</f>
        <v>0</v>
      </c>
      <c r="K4" s="25"/>
      <c r="L4" s="22">
        <f>TRUNC(L5+L7+L8+L9+L10+L11+L12+L13+L15+L16+L17+L18+L19+L20+L21+L22+L24+L26+L28+L29,0)</f>
        <v>0</v>
      </c>
      <c r="M4" s="28" t="s">
        <v>785</v>
      </c>
      <c r="N4" t="s">
        <v>785</v>
      </c>
      <c r="O4" t="s">
        <v>703</v>
      </c>
    </row>
    <row r="5" spans="1:61" ht="18.399999999999999" customHeight="1">
      <c r="A5" s="28" t="s">
        <v>631</v>
      </c>
      <c r="B5" s="28" t="s">
        <v>785</v>
      </c>
      <c r="C5" s="2">
        <v>1</v>
      </c>
      <c r="D5" s="2" t="s">
        <v>619</v>
      </c>
      <c r="E5" s="22">
        <f t="shared" ref="E5:E30" si="1">G5+I5+K5</f>
        <v>0</v>
      </c>
      <c r="F5" s="22">
        <f t="shared" si="0"/>
        <v>0</v>
      </c>
      <c r="G5" s="22">
        <f>H31</f>
        <v>0</v>
      </c>
      <c r="H5" s="22">
        <f>TRUNC(G5*C5,0)</f>
        <v>0</v>
      </c>
      <c r="I5" s="22">
        <f>J31</f>
        <v>0</v>
      </c>
      <c r="J5" s="22">
        <f>TRUNC(I5*C5,0)</f>
        <v>0</v>
      </c>
      <c r="K5" s="22">
        <f>L31</f>
        <v>0</v>
      </c>
      <c r="L5" s="22">
        <f>TRUNC(K5*C5,0)</f>
        <v>0</v>
      </c>
      <c r="M5" s="28" t="s">
        <v>785</v>
      </c>
      <c r="N5" t="s">
        <v>785</v>
      </c>
      <c r="P5" t="s">
        <v>102</v>
      </c>
      <c r="Q5" t="s">
        <v>785</v>
      </c>
      <c r="R5" t="s">
        <v>695</v>
      </c>
      <c r="AA5" s="23" t="s">
        <v>573</v>
      </c>
      <c r="AB5" s="5">
        <f>내역서!H5</f>
        <v>0</v>
      </c>
      <c r="AC5" s="23" t="s">
        <v>644</v>
      </c>
      <c r="AD5" s="4">
        <f t="shared" ref="AD5:AD18" si="2">$AB5</f>
        <v>0</v>
      </c>
      <c r="BI5" s="24" t="str">
        <f>HYPERLINK("#내역서!A33","A001 →")</f>
        <v>A001 →</v>
      </c>
    </row>
    <row r="6" spans="1:61" ht="18.399999999999999" customHeight="1">
      <c r="A6" s="28" t="s">
        <v>192</v>
      </c>
      <c r="B6" s="28" t="s">
        <v>785</v>
      </c>
      <c r="C6" s="2">
        <v>1</v>
      </c>
      <c r="D6" s="2" t="s">
        <v>619</v>
      </c>
      <c r="E6" s="22">
        <f t="shared" si="1"/>
        <v>0</v>
      </c>
      <c r="F6" s="22">
        <f t="shared" si="0"/>
        <v>0</v>
      </c>
      <c r="G6" s="1"/>
      <c r="H6" s="22">
        <f>TRUNC(H5,0)</f>
        <v>0</v>
      </c>
      <c r="I6" s="1"/>
      <c r="J6" s="22">
        <f>TRUNC(J5,0)</f>
        <v>0</v>
      </c>
      <c r="K6" s="1"/>
      <c r="L6" s="22">
        <f>TRUNC(L5,0)</f>
        <v>0</v>
      </c>
      <c r="M6" s="28" t="s">
        <v>785</v>
      </c>
      <c r="N6" t="s">
        <v>785</v>
      </c>
      <c r="P6" t="s">
        <v>678</v>
      </c>
      <c r="Q6" t="s">
        <v>507</v>
      </c>
      <c r="R6" t="s">
        <v>651</v>
      </c>
      <c r="X6" t="s">
        <v>691</v>
      </c>
      <c r="AA6" s="23" t="s">
        <v>93</v>
      </c>
      <c r="AB6" s="5">
        <f>내역서!J6*14.3/100</f>
        <v>0</v>
      </c>
      <c r="AC6" s="23" t="s">
        <v>321</v>
      </c>
      <c r="AD6" s="4">
        <f t="shared" si="2"/>
        <v>0</v>
      </c>
    </row>
    <row r="7" spans="1:61" ht="18.399999999999999" customHeight="1">
      <c r="A7" s="28" t="s">
        <v>32</v>
      </c>
      <c r="B7" s="28" t="s">
        <v>296</v>
      </c>
      <c r="C7" s="2">
        <v>1</v>
      </c>
      <c r="D7" s="2" t="s">
        <v>619</v>
      </c>
      <c r="E7" s="22">
        <f t="shared" si="1"/>
        <v>0</v>
      </c>
      <c r="F7" s="22">
        <f t="shared" si="0"/>
        <v>0</v>
      </c>
      <c r="G7" s="1"/>
      <c r="H7" s="22">
        <v>0</v>
      </c>
      <c r="I7" s="1"/>
      <c r="J7" s="22">
        <f>TRUNC((J6*14.3/100),0)</f>
        <v>0</v>
      </c>
      <c r="K7" s="1"/>
      <c r="L7" s="22">
        <v>0</v>
      </c>
      <c r="M7" s="28" t="s">
        <v>785</v>
      </c>
      <c r="N7" t="s">
        <v>349</v>
      </c>
      <c r="P7" t="s">
        <v>490</v>
      </c>
      <c r="Q7" t="s">
        <v>785</v>
      </c>
      <c r="R7" t="s">
        <v>702</v>
      </c>
      <c r="X7" t="s">
        <v>671</v>
      </c>
      <c r="AA7" s="23" t="s">
        <v>249</v>
      </c>
      <c r="AB7" s="5">
        <f>(내역서!J6+내역서!J7)*3.56/100</f>
        <v>0</v>
      </c>
      <c r="AC7" s="23" t="s">
        <v>429</v>
      </c>
      <c r="AD7" s="4">
        <f t="shared" si="2"/>
        <v>0</v>
      </c>
    </row>
    <row r="8" spans="1:61" ht="18.399999999999999" customHeight="1">
      <c r="A8" s="28" t="s">
        <v>213</v>
      </c>
      <c r="B8" s="28" t="s">
        <v>566</v>
      </c>
      <c r="C8" s="2">
        <v>1</v>
      </c>
      <c r="D8" s="2" t="s">
        <v>619</v>
      </c>
      <c r="E8" s="22">
        <f t="shared" si="1"/>
        <v>0</v>
      </c>
      <c r="F8" s="22">
        <f t="shared" si="0"/>
        <v>0</v>
      </c>
      <c r="G8" s="1"/>
      <c r="H8" s="22">
        <v>0</v>
      </c>
      <c r="I8" s="1"/>
      <c r="J8" s="22">
        <v>0</v>
      </c>
      <c r="K8" s="1"/>
      <c r="L8" s="22">
        <f>TRUNC(((J6+J7)*3.56/100),0)</f>
        <v>0</v>
      </c>
      <c r="M8" s="28" t="s">
        <v>785</v>
      </c>
      <c r="N8" t="s">
        <v>5</v>
      </c>
      <c r="P8" t="s">
        <v>291</v>
      </c>
      <c r="Q8" t="s">
        <v>785</v>
      </c>
      <c r="R8" t="s">
        <v>464</v>
      </c>
      <c r="X8" t="s">
        <v>581</v>
      </c>
      <c r="AA8" s="23" t="s">
        <v>249</v>
      </c>
      <c r="AB8" s="5">
        <f>(내역서!J6+내역서!J7)*1.01/100</f>
        <v>0</v>
      </c>
      <c r="AC8" s="23" t="s">
        <v>429</v>
      </c>
      <c r="AD8" s="4">
        <f t="shared" si="2"/>
        <v>0</v>
      </c>
    </row>
    <row r="9" spans="1:61" ht="18.399999999999999" customHeight="1">
      <c r="A9" s="28" t="s">
        <v>167</v>
      </c>
      <c r="B9" s="28" t="s">
        <v>439</v>
      </c>
      <c r="C9" s="2">
        <v>1</v>
      </c>
      <c r="D9" s="2" t="s">
        <v>619</v>
      </c>
      <c r="E9" s="22">
        <f t="shared" si="1"/>
        <v>0</v>
      </c>
      <c r="F9" s="22">
        <f t="shared" si="0"/>
        <v>0</v>
      </c>
      <c r="G9" s="1"/>
      <c r="H9" s="22">
        <v>0</v>
      </c>
      <c r="I9" s="1"/>
      <c r="J9" s="22">
        <v>0</v>
      </c>
      <c r="K9" s="1"/>
      <c r="L9" s="22">
        <f>TRUNC(((J6+J7)*1.01/100),0)</f>
        <v>0</v>
      </c>
      <c r="M9" s="28" t="s">
        <v>785</v>
      </c>
      <c r="N9" t="s">
        <v>701</v>
      </c>
      <c r="P9" t="s">
        <v>87</v>
      </c>
      <c r="Q9" t="s">
        <v>785</v>
      </c>
      <c r="R9" t="s">
        <v>353</v>
      </c>
      <c r="X9" t="s">
        <v>67</v>
      </c>
      <c r="AA9" s="23" t="s">
        <v>249</v>
      </c>
      <c r="AB9" s="5">
        <f>내역서!J6*3.545/100</f>
        <v>0</v>
      </c>
      <c r="AC9" s="23" t="s">
        <v>429</v>
      </c>
      <c r="AD9" s="4">
        <f t="shared" si="2"/>
        <v>0</v>
      </c>
    </row>
    <row r="10" spans="1:61" ht="18.399999999999999" customHeight="1">
      <c r="A10" s="28" t="s">
        <v>166</v>
      </c>
      <c r="B10" s="28" t="s">
        <v>232</v>
      </c>
      <c r="C10" s="2">
        <v>1</v>
      </c>
      <c r="D10" s="2" t="s">
        <v>619</v>
      </c>
      <c r="E10" s="22">
        <f t="shared" si="1"/>
        <v>0</v>
      </c>
      <c r="F10" s="22">
        <f t="shared" si="0"/>
        <v>0</v>
      </c>
      <c r="G10" s="1"/>
      <c r="H10" s="22">
        <v>0</v>
      </c>
      <c r="I10" s="1"/>
      <c r="J10" s="22">
        <v>0</v>
      </c>
      <c r="K10" s="1"/>
      <c r="L10" s="22">
        <f>TRUNC((J6*3.545/100),0)</f>
        <v>0</v>
      </c>
      <c r="M10" s="28" t="s">
        <v>785</v>
      </c>
      <c r="N10" t="s">
        <v>393</v>
      </c>
      <c r="P10" t="s">
        <v>662</v>
      </c>
      <c r="Q10" t="s">
        <v>785</v>
      </c>
      <c r="R10" t="s">
        <v>736</v>
      </c>
      <c r="X10" t="s">
        <v>709</v>
      </c>
      <c r="AA10" s="23" t="s">
        <v>249</v>
      </c>
      <c r="AB10" s="5">
        <f>내역서!L10*12.95/100</f>
        <v>0</v>
      </c>
      <c r="AC10" s="23" t="s">
        <v>429</v>
      </c>
      <c r="AD10" s="4">
        <f t="shared" si="2"/>
        <v>0</v>
      </c>
    </row>
    <row r="11" spans="1:61" ht="18.399999999999999" customHeight="1">
      <c r="A11" s="28" t="s">
        <v>147</v>
      </c>
      <c r="B11" s="28" t="s">
        <v>231</v>
      </c>
      <c r="C11" s="2">
        <v>1</v>
      </c>
      <c r="D11" s="2" t="s">
        <v>619</v>
      </c>
      <c r="E11" s="22">
        <f t="shared" si="1"/>
        <v>0</v>
      </c>
      <c r="F11" s="22">
        <f t="shared" si="0"/>
        <v>0</v>
      </c>
      <c r="G11" s="1"/>
      <c r="H11" s="22">
        <v>0</v>
      </c>
      <c r="I11" s="1"/>
      <c r="J11" s="22">
        <v>0</v>
      </c>
      <c r="K11" s="1"/>
      <c r="L11" s="22">
        <f>TRUNC((L10*12.95/100),0)</f>
        <v>0</v>
      </c>
      <c r="M11" s="28" t="s">
        <v>785</v>
      </c>
      <c r="N11" t="s">
        <v>642</v>
      </c>
      <c r="P11" t="s">
        <v>477</v>
      </c>
      <c r="Q11" t="s">
        <v>785</v>
      </c>
      <c r="R11" t="s">
        <v>195</v>
      </c>
      <c r="X11" t="s">
        <v>38</v>
      </c>
      <c r="AA11" s="23" t="s">
        <v>249</v>
      </c>
      <c r="AB11" s="5">
        <f>내역서!J6*4.5/100</f>
        <v>0</v>
      </c>
      <c r="AC11" s="23" t="s">
        <v>429</v>
      </c>
      <c r="AD11" s="4">
        <f t="shared" si="2"/>
        <v>0</v>
      </c>
    </row>
    <row r="12" spans="1:61" ht="18.399999999999999" customHeight="1">
      <c r="A12" s="28" t="s">
        <v>31</v>
      </c>
      <c r="B12" s="28" t="s">
        <v>339</v>
      </c>
      <c r="C12" s="2">
        <v>1</v>
      </c>
      <c r="D12" s="2" t="s">
        <v>619</v>
      </c>
      <c r="E12" s="22">
        <f t="shared" si="1"/>
        <v>0</v>
      </c>
      <c r="F12" s="22">
        <f t="shared" si="0"/>
        <v>0</v>
      </c>
      <c r="G12" s="1"/>
      <c r="H12" s="22">
        <v>0</v>
      </c>
      <c r="I12" s="1"/>
      <c r="J12" s="22">
        <v>0</v>
      </c>
      <c r="K12" s="1"/>
      <c r="L12" s="22">
        <f>TRUNC((J6*4.5/100),0)</f>
        <v>0</v>
      </c>
      <c r="M12" s="28" t="s">
        <v>785</v>
      </c>
      <c r="N12" t="s">
        <v>320</v>
      </c>
      <c r="P12" t="s">
        <v>270</v>
      </c>
      <c r="Q12" t="s">
        <v>785</v>
      </c>
      <c r="R12" t="s">
        <v>759</v>
      </c>
      <c r="X12" t="s">
        <v>200</v>
      </c>
      <c r="AA12" s="23" t="s">
        <v>249</v>
      </c>
      <c r="AB12" s="5">
        <f>내역서!J6*2.3/100</f>
        <v>0</v>
      </c>
      <c r="AC12" s="23" t="s">
        <v>429</v>
      </c>
      <c r="AD12" s="4">
        <f t="shared" si="2"/>
        <v>0</v>
      </c>
    </row>
    <row r="13" spans="1:61" ht="18.399999999999999" customHeight="1">
      <c r="A13" s="28" t="s">
        <v>712</v>
      </c>
      <c r="B13" s="28" t="s">
        <v>165</v>
      </c>
      <c r="C13" s="2">
        <v>1</v>
      </c>
      <c r="D13" s="2" t="s">
        <v>619</v>
      </c>
      <c r="E13" s="22">
        <f t="shared" si="1"/>
        <v>0</v>
      </c>
      <c r="F13" s="22">
        <f t="shared" si="0"/>
        <v>0</v>
      </c>
      <c r="G13" s="1"/>
      <c r="H13" s="22">
        <v>0</v>
      </c>
      <c r="I13" s="1"/>
      <c r="J13" s="22">
        <v>0</v>
      </c>
      <c r="K13" s="1"/>
      <c r="L13" s="22">
        <f>TRUNC((J6*2.3/100),0)</f>
        <v>0</v>
      </c>
      <c r="M13" s="28" t="s">
        <v>785</v>
      </c>
      <c r="N13" t="s">
        <v>289</v>
      </c>
      <c r="P13" t="s">
        <v>68</v>
      </c>
      <c r="Q13" t="s">
        <v>785</v>
      </c>
      <c r="R13" t="s">
        <v>599</v>
      </c>
      <c r="X13" t="s">
        <v>742</v>
      </c>
      <c r="AA13" s="23" t="s">
        <v>249</v>
      </c>
      <c r="AB13" s="5">
        <f>(내역서!H6+내역서!J6+(0/1.1))*1.85/100</f>
        <v>0</v>
      </c>
      <c r="AC13" s="23" t="s">
        <v>429</v>
      </c>
      <c r="AD13" s="4">
        <f t="shared" si="2"/>
        <v>0</v>
      </c>
    </row>
    <row r="14" spans="1:61" ht="18.399999999999999" customHeight="1">
      <c r="A14" s="28" t="s">
        <v>180</v>
      </c>
      <c r="B14" s="28" t="s">
        <v>107</v>
      </c>
      <c r="C14" s="2">
        <v>1</v>
      </c>
      <c r="D14" s="2" t="s">
        <v>619</v>
      </c>
      <c r="E14" s="22">
        <f t="shared" si="1"/>
        <v>0</v>
      </c>
      <c r="F14" s="22">
        <f t="shared" si="0"/>
        <v>0</v>
      </c>
      <c r="G14" s="1"/>
      <c r="H14" s="22">
        <v>0</v>
      </c>
      <c r="I14" s="1"/>
      <c r="J14" s="22">
        <v>0</v>
      </c>
      <c r="K14" s="1"/>
      <c r="L14" s="22">
        <f>TRUNC(((H6+J6+(H29/1.1))*1.85/100),0)</f>
        <v>0</v>
      </c>
      <c r="M14" s="28" t="s">
        <v>785</v>
      </c>
      <c r="N14" t="s">
        <v>82</v>
      </c>
      <c r="P14" t="s">
        <v>65</v>
      </c>
      <c r="Q14" t="s">
        <v>507</v>
      </c>
      <c r="R14" t="s">
        <v>434</v>
      </c>
      <c r="X14" t="s">
        <v>15</v>
      </c>
      <c r="AA14" s="23" t="s">
        <v>249</v>
      </c>
      <c r="AB14" s="5">
        <f>(내역서!H6+내역서!J6)*1.85/100*1.2</f>
        <v>0</v>
      </c>
      <c r="AC14" s="23" t="s">
        <v>429</v>
      </c>
      <c r="AD14" s="4">
        <f t="shared" si="2"/>
        <v>0</v>
      </c>
    </row>
    <row r="15" spans="1:61" ht="18.399999999999999" customHeight="1">
      <c r="A15" s="28" t="s">
        <v>328</v>
      </c>
      <c r="B15" s="28" t="s">
        <v>4</v>
      </c>
      <c r="C15" s="2">
        <v>1</v>
      </c>
      <c r="D15" s="2" t="s">
        <v>619</v>
      </c>
      <c r="E15" s="22">
        <f t="shared" si="1"/>
        <v>0</v>
      </c>
      <c r="F15" s="22">
        <f t="shared" si="0"/>
        <v>0</v>
      </c>
      <c r="G15" s="1"/>
      <c r="H15" s="22">
        <v>0</v>
      </c>
      <c r="I15" s="1"/>
      <c r="J15" s="22">
        <v>0</v>
      </c>
      <c r="K15" s="1"/>
      <c r="L15" s="22">
        <f>TRUNC(((H6+J6)*1.85/100*1.2),0)</f>
        <v>0</v>
      </c>
      <c r="M15" s="28" t="s">
        <v>785</v>
      </c>
      <c r="N15" t="s">
        <v>785</v>
      </c>
      <c r="P15" t="s">
        <v>257</v>
      </c>
      <c r="Q15" t="s">
        <v>785</v>
      </c>
      <c r="R15" t="s">
        <v>101</v>
      </c>
      <c r="X15" t="s">
        <v>183</v>
      </c>
      <c r="AA15" s="23" t="s">
        <v>249</v>
      </c>
      <c r="AB15" s="5">
        <f>(내역서!H6+내역서!J6+내역서!J7)*5.5/100</f>
        <v>0</v>
      </c>
      <c r="AC15" s="23" t="s">
        <v>429</v>
      </c>
      <c r="AD15" s="4">
        <f t="shared" si="2"/>
        <v>0</v>
      </c>
    </row>
    <row r="16" spans="1:61" ht="18.399999999999999" customHeight="1">
      <c r="A16" s="28" t="s">
        <v>150</v>
      </c>
      <c r="B16" s="28" t="s">
        <v>269</v>
      </c>
      <c r="C16" s="2">
        <v>1</v>
      </c>
      <c r="D16" s="2" t="s">
        <v>619</v>
      </c>
      <c r="E16" s="22">
        <f t="shared" si="1"/>
        <v>0</v>
      </c>
      <c r="F16" s="22">
        <f t="shared" si="0"/>
        <v>0</v>
      </c>
      <c r="G16" s="1"/>
      <c r="H16" s="22">
        <v>0</v>
      </c>
      <c r="I16" s="1"/>
      <c r="J16" s="22">
        <v>0</v>
      </c>
      <c r="K16" s="1"/>
      <c r="L16" s="22">
        <f>TRUNC(((H6+J6+J7)*5.5/100),0)</f>
        <v>0</v>
      </c>
      <c r="M16" s="28" t="s">
        <v>785</v>
      </c>
      <c r="N16" t="s">
        <v>630</v>
      </c>
      <c r="P16" t="s">
        <v>471</v>
      </c>
      <c r="Q16" t="s">
        <v>785</v>
      </c>
      <c r="R16" t="s">
        <v>207</v>
      </c>
      <c r="X16" t="s">
        <v>332</v>
      </c>
      <c r="AA16" s="23" t="s">
        <v>249</v>
      </c>
      <c r="AB16" s="5">
        <f>(내역서!H6+내역서!J6+내역서!L6)*0.3/100</f>
        <v>0</v>
      </c>
      <c r="AC16" s="23" t="s">
        <v>429</v>
      </c>
      <c r="AD16" s="4">
        <f t="shared" si="2"/>
        <v>0</v>
      </c>
    </row>
    <row r="17" spans="1:61" ht="18.399999999999999" customHeight="1">
      <c r="A17" s="28" t="s">
        <v>766</v>
      </c>
      <c r="B17" s="28" t="s">
        <v>228</v>
      </c>
      <c r="C17" s="2">
        <v>1</v>
      </c>
      <c r="D17" s="2" t="s">
        <v>619</v>
      </c>
      <c r="E17" s="22">
        <f t="shared" si="1"/>
        <v>0</v>
      </c>
      <c r="F17" s="22">
        <f t="shared" si="0"/>
        <v>0</v>
      </c>
      <c r="G17" s="1"/>
      <c r="H17" s="22">
        <v>0</v>
      </c>
      <c r="I17" s="1"/>
      <c r="J17" s="22">
        <v>0</v>
      </c>
      <c r="K17" s="1"/>
      <c r="L17" s="22">
        <f>TRUNC(((H6+J6+L6)*0.3/100),0)</f>
        <v>0</v>
      </c>
      <c r="M17" s="28" t="s">
        <v>785</v>
      </c>
      <c r="N17" t="s">
        <v>61</v>
      </c>
      <c r="P17" t="s">
        <v>649</v>
      </c>
      <c r="Q17" t="s">
        <v>785</v>
      </c>
      <c r="R17" t="s">
        <v>421</v>
      </c>
      <c r="X17" t="s">
        <v>532</v>
      </c>
      <c r="AA17" s="23" t="s">
        <v>249</v>
      </c>
      <c r="AB17" s="5">
        <f>(내역서!H6+내역서!J6+내역서!L6)*0.18/100</f>
        <v>0</v>
      </c>
      <c r="AC17" s="23" t="s">
        <v>429</v>
      </c>
      <c r="AD17" s="4">
        <f t="shared" si="2"/>
        <v>0</v>
      </c>
    </row>
    <row r="18" spans="1:61" ht="18.399999999999999" customHeight="1">
      <c r="A18" s="28" t="s">
        <v>550</v>
      </c>
      <c r="B18" s="28" t="s">
        <v>513</v>
      </c>
      <c r="C18" s="2">
        <v>1</v>
      </c>
      <c r="D18" s="2" t="s">
        <v>619</v>
      </c>
      <c r="E18" s="22">
        <f t="shared" si="1"/>
        <v>0</v>
      </c>
      <c r="F18" s="22">
        <f t="shared" si="0"/>
        <v>0</v>
      </c>
      <c r="G18" s="1"/>
      <c r="H18" s="22">
        <v>0</v>
      </c>
      <c r="I18" s="1"/>
      <c r="J18" s="22">
        <v>0</v>
      </c>
      <c r="K18" s="1"/>
      <c r="L18" s="22">
        <f>TRUNC(((H6+J6+L6)*0.18/100),0)</f>
        <v>0</v>
      </c>
      <c r="M18" s="28" t="s">
        <v>785</v>
      </c>
      <c r="N18" t="s">
        <v>590</v>
      </c>
      <c r="P18" t="s">
        <v>46</v>
      </c>
      <c r="Q18" t="s">
        <v>785</v>
      </c>
      <c r="R18" t="s">
        <v>263</v>
      </c>
      <c r="X18" t="s">
        <v>488</v>
      </c>
      <c r="AA18" s="23" t="s">
        <v>249</v>
      </c>
      <c r="AB18" s="5">
        <f>(내역서!H6+내역서!J6+내역서!L6)*0.081/100</f>
        <v>0</v>
      </c>
      <c r="AC18" s="23" t="s">
        <v>429</v>
      </c>
      <c r="AD18" s="4">
        <f t="shared" si="2"/>
        <v>0</v>
      </c>
    </row>
    <row r="19" spans="1:61" ht="18.399999999999999" customHeight="1">
      <c r="A19" s="28" t="s">
        <v>392</v>
      </c>
      <c r="B19" s="28" t="s">
        <v>540</v>
      </c>
      <c r="C19" s="2">
        <v>1</v>
      </c>
      <c r="D19" s="2" t="s">
        <v>619</v>
      </c>
      <c r="E19" s="22">
        <f t="shared" si="1"/>
        <v>0</v>
      </c>
      <c r="F19" s="22">
        <f t="shared" si="0"/>
        <v>0</v>
      </c>
      <c r="G19" s="1"/>
      <c r="H19" s="22">
        <v>0</v>
      </c>
      <c r="I19" s="1"/>
      <c r="J19" s="22">
        <v>0</v>
      </c>
      <c r="K19" s="1"/>
      <c r="L19" s="22">
        <f>TRUNC(((H6+J6+L6)*0.081/100),0)</f>
        <v>0</v>
      </c>
      <c r="M19" s="28" t="s">
        <v>785</v>
      </c>
      <c r="N19" t="s">
        <v>785</v>
      </c>
      <c r="P19" t="s">
        <v>246</v>
      </c>
      <c r="Q19" t="s">
        <v>785</v>
      </c>
      <c r="R19" t="s">
        <v>651</v>
      </c>
      <c r="X19" t="s">
        <v>700</v>
      </c>
    </row>
    <row r="20" spans="1:61" ht="18.399999999999999" customHeight="1">
      <c r="A20" s="28" t="s">
        <v>634</v>
      </c>
      <c r="B20" s="28" t="s">
        <v>785</v>
      </c>
      <c r="C20" s="2">
        <v>1</v>
      </c>
      <c r="D20" s="2" t="s">
        <v>619</v>
      </c>
      <c r="E20" s="22">
        <f t="shared" si="1"/>
        <v>0</v>
      </c>
      <c r="F20" s="22">
        <f t="shared" si="0"/>
        <v>0</v>
      </c>
      <c r="G20" s="22">
        <f>H139</f>
        <v>0</v>
      </c>
      <c r="H20" s="22">
        <f>TRUNC(G20*C20,0)</f>
        <v>0</v>
      </c>
      <c r="I20" s="22">
        <f>J139</f>
        <v>0</v>
      </c>
      <c r="J20" s="22">
        <f>TRUNC(I20*C20,0)</f>
        <v>0</v>
      </c>
      <c r="K20" s="22">
        <f>L139</f>
        <v>0</v>
      </c>
      <c r="L20" s="22">
        <f>TRUNC(K20*C20,0)</f>
        <v>0</v>
      </c>
      <c r="M20" s="28" t="s">
        <v>785</v>
      </c>
      <c r="N20" t="s">
        <v>785</v>
      </c>
      <c r="P20" t="s">
        <v>463</v>
      </c>
      <c r="Q20" t="s">
        <v>785</v>
      </c>
      <c r="R20" t="s">
        <v>707</v>
      </c>
      <c r="AA20" s="23" t="s">
        <v>249</v>
      </c>
      <c r="AB20" s="5">
        <f>(내역서!H6+내역서!J6+내역서!J7+내역서!L6+내역서!L8+내역서!L9+내역서!L10+내역서!L11+내역서!L12+내역서!L13+내역서!L15+내역서!L16+내역서!L17+내역서!L18+내역서!L19+내역서!L20)*6/100</f>
        <v>0</v>
      </c>
      <c r="AC20" s="23" t="s">
        <v>429</v>
      </c>
      <c r="AD20" s="4">
        <f>$AB20</f>
        <v>0</v>
      </c>
      <c r="BI20" s="24" t="str">
        <f>HYPERLINK("#내역서!A123","A07 →")</f>
        <v>A07 →</v>
      </c>
    </row>
    <row r="21" spans="1:61" ht="18.399999999999999" customHeight="1">
      <c r="A21" s="28" t="s">
        <v>407</v>
      </c>
      <c r="B21" s="28" t="s">
        <v>75</v>
      </c>
      <c r="C21" s="2">
        <v>1</v>
      </c>
      <c r="D21" s="2" t="s">
        <v>619</v>
      </c>
      <c r="E21" s="22">
        <f t="shared" si="1"/>
        <v>0</v>
      </c>
      <c r="F21" s="22">
        <f t="shared" si="0"/>
        <v>0</v>
      </c>
      <c r="G21" s="1"/>
      <c r="H21" s="22">
        <v>0</v>
      </c>
      <c r="I21" s="1"/>
      <c r="J21" s="22">
        <v>0</v>
      </c>
      <c r="K21" s="1"/>
      <c r="L21" s="22">
        <f>TRUNC(((H6+J6+J7+L6+L8+L9+L10+L11+L12+L13+L15+L16+L17+L18+L19+L20)*6/100),0)</f>
        <v>0</v>
      </c>
      <c r="M21" s="28" t="s">
        <v>785</v>
      </c>
      <c r="N21" t="s">
        <v>699</v>
      </c>
      <c r="P21" t="s">
        <v>633</v>
      </c>
      <c r="Q21" t="s">
        <v>785</v>
      </c>
      <c r="R21" t="s">
        <v>352</v>
      </c>
      <c r="X21" t="s">
        <v>151</v>
      </c>
      <c r="AA21" s="23" t="s">
        <v>249</v>
      </c>
      <c r="AB21" s="5">
        <f>(내역서!J6+내역서!J7+내역서!L6+내역서!L8+내역서!L9+내역서!L10+내역서!L11+내역서!L12+내역서!L13+내역서!L15+내역서!L16+내역서!L17+내역서!L18+내역서!L19+내역서!L20+내역서!L21)*13/100-(206165/1.1)-(5292/1.1)</f>
        <v>-192233.63636363635</v>
      </c>
      <c r="AC21" s="23" t="s">
        <v>429</v>
      </c>
      <c r="AD21" s="4">
        <f>$AB21</f>
        <v>-192233.63636363635</v>
      </c>
    </row>
    <row r="22" spans="1:61" ht="18.399999999999999" customHeight="1">
      <c r="A22" s="28" t="s">
        <v>300</v>
      </c>
      <c r="B22" s="28" t="s">
        <v>447</v>
      </c>
      <c r="C22" s="2">
        <v>1</v>
      </c>
      <c r="D22" s="2" t="s">
        <v>619</v>
      </c>
      <c r="E22" s="22">
        <f t="shared" si="1"/>
        <v>0</v>
      </c>
      <c r="F22" s="22">
        <f t="shared" si="0"/>
        <v>0</v>
      </c>
      <c r="G22" s="1"/>
      <c r="H22" s="22">
        <v>0</v>
      </c>
      <c r="I22" s="1"/>
      <c r="J22" s="22">
        <v>0</v>
      </c>
      <c r="K22" s="1"/>
      <c r="L22" s="22">
        <f>TRUNC(((J6+J7+L6+L8+L9+L10+L11+L12+L13+L15+L16+L17+L18+L19+L20+L21)*13/100),0)</f>
        <v>0</v>
      </c>
      <c r="M22" s="28" t="s">
        <v>785</v>
      </c>
      <c r="N22" t="s">
        <v>484</v>
      </c>
      <c r="P22" t="s">
        <v>100</v>
      </c>
      <c r="Q22" t="s">
        <v>785</v>
      </c>
      <c r="R22" t="s">
        <v>28</v>
      </c>
      <c r="X22" t="s">
        <v>179</v>
      </c>
      <c r="AA22" s="23" t="s">
        <v>249</v>
      </c>
      <c r="AB22" s="5">
        <f>내역서!H6+내역서!J6+내역서!J7+내역서!L6+내역서!L8+내역서!L9+내역서!L10+내역서!L11+내역서!L12+내역서!L13+내역서!L15+내역서!L16+내역서!L17+내역서!L18+내역서!L19+내역서!L20+내역서!L21+내역서!L22</f>
        <v>0</v>
      </c>
      <c r="AC22" s="23" t="s">
        <v>429</v>
      </c>
      <c r="AD22" s="4">
        <f>$AB22</f>
        <v>0</v>
      </c>
    </row>
    <row r="23" spans="1:61" ht="18.399999999999999" customHeight="1">
      <c r="A23" s="28" t="s">
        <v>80</v>
      </c>
      <c r="B23" s="28" t="s">
        <v>785</v>
      </c>
      <c r="C23" s="2">
        <v>1</v>
      </c>
      <c r="D23" s="2" t="s">
        <v>619</v>
      </c>
      <c r="E23" s="22">
        <f t="shared" si="1"/>
        <v>0</v>
      </c>
      <c r="F23" s="22">
        <f t="shared" si="0"/>
        <v>0</v>
      </c>
      <c r="G23" s="1"/>
      <c r="H23" s="22">
        <v>0</v>
      </c>
      <c r="I23" s="1"/>
      <c r="J23" s="22">
        <v>0</v>
      </c>
      <c r="K23" s="1"/>
      <c r="L23" s="22">
        <f>TRUNC((H6+J6+J7+L6+L8+L9+L10+L11+L12+L13+L15+L16+L17+L18+L19+L20+L21+L22),0)</f>
        <v>0</v>
      </c>
      <c r="M23" s="28" t="s">
        <v>785</v>
      </c>
      <c r="N23" t="s">
        <v>507</v>
      </c>
      <c r="P23" t="s">
        <v>293</v>
      </c>
      <c r="Q23" t="s">
        <v>507</v>
      </c>
      <c r="R23" t="s">
        <v>299</v>
      </c>
      <c r="X23" t="s">
        <v>606</v>
      </c>
    </row>
    <row r="24" spans="1:61" ht="18.399999999999999" customHeight="1">
      <c r="A24" s="28" t="s">
        <v>212</v>
      </c>
      <c r="B24" s="28" t="s">
        <v>785</v>
      </c>
      <c r="C24" s="2">
        <v>1</v>
      </c>
      <c r="D24" s="2" t="s">
        <v>619</v>
      </c>
      <c r="E24" s="22">
        <f t="shared" si="1"/>
        <v>0</v>
      </c>
      <c r="F24" s="22">
        <f t="shared" si="0"/>
        <v>0</v>
      </c>
      <c r="G24" s="22">
        <f>H143</f>
        <v>0</v>
      </c>
      <c r="H24" s="22">
        <f>TRUNC(G24*C24,0)</f>
        <v>0</v>
      </c>
      <c r="I24" s="22">
        <f>J143</f>
        <v>0</v>
      </c>
      <c r="J24" s="22">
        <f>TRUNC(I24*C24,0)</f>
        <v>0</v>
      </c>
      <c r="K24" s="22">
        <f>L143</f>
        <v>0</v>
      </c>
      <c r="L24" s="22">
        <f>TRUNC(K24*C24,0)</f>
        <v>0</v>
      </c>
      <c r="M24" s="28" t="s">
        <v>785</v>
      </c>
      <c r="N24" t="s">
        <v>785</v>
      </c>
      <c r="P24" t="s">
        <v>236</v>
      </c>
      <c r="Q24" t="s">
        <v>785</v>
      </c>
      <c r="R24" t="s">
        <v>376</v>
      </c>
      <c r="AA24" s="23" t="s">
        <v>249</v>
      </c>
      <c r="AB24" s="5">
        <f>(내역서!H23+내역서!J23+내역서!L23)+(내역서!H24+내역서!J24+내역서!L24)</f>
        <v>0</v>
      </c>
      <c r="AC24" s="23" t="s">
        <v>429</v>
      </c>
      <c r="AD24" s="4">
        <f>$AB24</f>
        <v>0</v>
      </c>
      <c r="BI24" s="24" t="str">
        <f>HYPERLINK("#내역서!A127","A08 →")</f>
        <v>A08 →</v>
      </c>
    </row>
    <row r="25" spans="1:61" ht="18.399999999999999" customHeight="1">
      <c r="A25" s="28" t="s">
        <v>286</v>
      </c>
      <c r="B25" s="28" t="s">
        <v>785</v>
      </c>
      <c r="C25" s="2">
        <v>1</v>
      </c>
      <c r="D25" s="2" t="s">
        <v>619</v>
      </c>
      <c r="E25" s="22">
        <f t="shared" si="1"/>
        <v>0</v>
      </c>
      <c r="F25" s="22">
        <f t="shared" si="0"/>
        <v>0</v>
      </c>
      <c r="G25" s="1"/>
      <c r="H25" s="22">
        <v>0</v>
      </c>
      <c r="I25" s="1"/>
      <c r="J25" s="22">
        <v>0</v>
      </c>
      <c r="K25" s="1"/>
      <c r="L25" s="22">
        <f>TRUNC(((H23+J23+L23)+(H24+J24+L24)),0)</f>
        <v>0</v>
      </c>
      <c r="M25" s="28" t="s">
        <v>785</v>
      </c>
      <c r="N25" t="s">
        <v>785</v>
      </c>
      <c r="P25" t="s">
        <v>40</v>
      </c>
      <c r="Q25" t="s">
        <v>507</v>
      </c>
      <c r="R25" t="s">
        <v>651</v>
      </c>
      <c r="X25" t="s">
        <v>582</v>
      </c>
      <c r="AA25" s="23" t="s">
        <v>249</v>
      </c>
      <c r="AB25" s="5">
        <f>내역서!L25*10/100</f>
        <v>0</v>
      </c>
      <c r="AC25" s="23" t="s">
        <v>429</v>
      </c>
      <c r="AD25" s="4">
        <f>$AB25</f>
        <v>0</v>
      </c>
    </row>
    <row r="26" spans="1:61" ht="18.399999999999999" customHeight="1">
      <c r="A26" s="28" t="s">
        <v>758</v>
      </c>
      <c r="B26" s="28" t="s">
        <v>56</v>
      </c>
      <c r="C26" s="2">
        <v>1</v>
      </c>
      <c r="D26" s="2" t="s">
        <v>619</v>
      </c>
      <c r="E26" s="22">
        <f t="shared" si="1"/>
        <v>0</v>
      </c>
      <c r="F26" s="22">
        <f t="shared" si="0"/>
        <v>0</v>
      </c>
      <c r="G26" s="1"/>
      <c r="H26" s="22">
        <v>0</v>
      </c>
      <c r="I26" s="1"/>
      <c r="J26" s="22">
        <v>0</v>
      </c>
      <c r="K26" s="1"/>
      <c r="L26" s="22">
        <f>TRUNC((L25*10/100),0)</f>
        <v>0</v>
      </c>
      <c r="M26" s="28" t="s">
        <v>785</v>
      </c>
      <c r="N26" t="s">
        <v>510</v>
      </c>
      <c r="P26" t="s">
        <v>620</v>
      </c>
      <c r="Q26" t="s">
        <v>785</v>
      </c>
      <c r="R26" t="s">
        <v>161</v>
      </c>
      <c r="X26" t="s">
        <v>64</v>
      </c>
      <c r="AA26" s="23" t="s">
        <v>249</v>
      </c>
      <c r="AB26" s="5">
        <f>(내역서!H25+내역서!J25+내역서!L25)+(내역서!H26+내역서!J26+내역서!L26)</f>
        <v>0</v>
      </c>
      <c r="AC26" s="23" t="s">
        <v>429</v>
      </c>
      <c r="AD26" s="4">
        <f>$AB26</f>
        <v>0</v>
      </c>
    </row>
    <row r="27" spans="1:61" ht="18.399999999999999" customHeight="1">
      <c r="A27" s="28" t="s">
        <v>520</v>
      </c>
      <c r="B27" s="28" t="s">
        <v>785</v>
      </c>
      <c r="C27" s="2">
        <v>1</v>
      </c>
      <c r="D27" s="2" t="s">
        <v>619</v>
      </c>
      <c r="E27" s="22">
        <f t="shared" si="1"/>
        <v>0</v>
      </c>
      <c r="F27" s="22">
        <f t="shared" si="0"/>
        <v>0</v>
      </c>
      <c r="G27" s="1"/>
      <c r="H27" s="22">
        <v>0</v>
      </c>
      <c r="I27" s="1"/>
      <c r="J27" s="22">
        <v>0</v>
      </c>
      <c r="K27" s="1"/>
      <c r="L27" s="22">
        <f>TRUNC(((H25+J25+L25)+(H26+J26+L26)),0)</f>
        <v>0</v>
      </c>
      <c r="M27" s="28" t="s">
        <v>785</v>
      </c>
      <c r="N27" t="s">
        <v>785</v>
      </c>
      <c r="P27" t="s">
        <v>452</v>
      </c>
      <c r="Q27" t="s">
        <v>507</v>
      </c>
      <c r="R27" t="s">
        <v>651</v>
      </c>
      <c r="X27" t="s">
        <v>733</v>
      </c>
    </row>
    <row r="28" spans="1:61" ht="18.399999999999999" customHeight="1">
      <c r="A28" s="28" t="s">
        <v>262</v>
      </c>
      <c r="B28" s="28" t="s">
        <v>785</v>
      </c>
      <c r="C28" s="2">
        <v>1</v>
      </c>
      <c r="D28" s="2" t="s">
        <v>619</v>
      </c>
      <c r="E28" s="22">
        <f t="shared" si="1"/>
        <v>0</v>
      </c>
      <c r="F28" s="22">
        <f t="shared" si="0"/>
        <v>0</v>
      </c>
      <c r="G28" s="22">
        <f>H166</f>
        <v>0</v>
      </c>
      <c r="H28" s="22">
        <f>TRUNC(G28*C28,0)</f>
        <v>0</v>
      </c>
      <c r="I28" s="22">
        <f>J166</f>
        <v>0</v>
      </c>
      <c r="J28" s="22">
        <f>TRUNC(I28*C28,0)</f>
        <v>0</v>
      </c>
      <c r="K28" s="22">
        <f>L166</f>
        <v>0</v>
      </c>
      <c r="L28" s="22">
        <f>TRUNC(K28*C28,0)</f>
        <v>0</v>
      </c>
      <c r="M28" s="28" t="s">
        <v>785</v>
      </c>
      <c r="N28" t="s">
        <v>785</v>
      </c>
      <c r="P28" t="s">
        <v>227</v>
      </c>
      <c r="Q28" t="s">
        <v>785</v>
      </c>
      <c r="R28" t="s">
        <v>462</v>
      </c>
      <c r="BI28" s="24" t="str">
        <f>HYPERLINK("#내역서!A131","A11 →")</f>
        <v>A11 →</v>
      </c>
    </row>
    <row r="29" spans="1:61" ht="18.399999999999999" customHeight="1">
      <c r="A29" s="28" t="s">
        <v>705</v>
      </c>
      <c r="B29" s="28" t="s">
        <v>785</v>
      </c>
      <c r="C29" s="2">
        <v>1</v>
      </c>
      <c r="D29" s="2" t="s">
        <v>619</v>
      </c>
      <c r="E29" s="22">
        <f t="shared" si="1"/>
        <v>0</v>
      </c>
      <c r="F29" s="22">
        <f t="shared" si="0"/>
        <v>0</v>
      </c>
      <c r="G29" s="22">
        <f>H188</f>
        <v>0</v>
      </c>
      <c r="H29" s="22">
        <f>TRUNC(G29*C29,0)</f>
        <v>0</v>
      </c>
      <c r="I29" s="22">
        <f>J188</f>
        <v>0</v>
      </c>
      <c r="J29" s="22">
        <f>TRUNC(I29*C29,0)</f>
        <v>0</v>
      </c>
      <c r="K29" s="22">
        <f>L188</f>
        <v>0</v>
      </c>
      <c r="L29" s="22">
        <f>TRUNC(K29*C29,0)</f>
        <v>0</v>
      </c>
      <c r="M29" s="28" t="s">
        <v>785</v>
      </c>
      <c r="N29" t="s">
        <v>785</v>
      </c>
      <c r="P29" t="s">
        <v>27</v>
      </c>
      <c r="Q29" t="s">
        <v>785</v>
      </c>
      <c r="R29" t="s">
        <v>126</v>
      </c>
      <c r="AA29" s="23" t="s">
        <v>249</v>
      </c>
      <c r="AB29" s="5">
        <f>(내역서!H27+내역서!J27+내역서!L27)+(내역서!H28+내역서!J28+내역서!L28)+(내역서!H29+내역서!J29+내역서!L29)</f>
        <v>0</v>
      </c>
      <c r="AC29" s="23" t="s">
        <v>429</v>
      </c>
      <c r="AD29" s="4">
        <f>$AB29</f>
        <v>0</v>
      </c>
      <c r="BI29" s="24" t="str">
        <f>HYPERLINK("#내역서!A154","A12 →")</f>
        <v>A12 →</v>
      </c>
    </row>
    <row r="30" spans="1:61" ht="18.399999999999999" customHeight="1">
      <c r="A30" s="28" t="s">
        <v>60</v>
      </c>
      <c r="B30" s="28" t="s">
        <v>785</v>
      </c>
      <c r="C30" s="2">
        <v>1</v>
      </c>
      <c r="D30" s="2" t="s">
        <v>619</v>
      </c>
      <c r="E30" s="22">
        <f t="shared" si="1"/>
        <v>0</v>
      </c>
      <c r="F30" s="22">
        <f t="shared" si="0"/>
        <v>0</v>
      </c>
      <c r="G30" s="1"/>
      <c r="H30" s="22">
        <v>0</v>
      </c>
      <c r="I30" s="1"/>
      <c r="J30" s="22">
        <v>0</v>
      </c>
      <c r="K30" s="1"/>
      <c r="L30" s="22">
        <f>TRUNC(((H27+J27+L27)+(H28+J28+L28)+(H29+J29+L29)),0)</f>
        <v>0</v>
      </c>
      <c r="M30" s="28" t="s">
        <v>785</v>
      </c>
      <c r="N30" t="s">
        <v>507</v>
      </c>
      <c r="P30" t="s">
        <v>605</v>
      </c>
      <c r="Q30" t="s">
        <v>507</v>
      </c>
      <c r="R30" t="s">
        <v>299</v>
      </c>
      <c r="X30" t="s">
        <v>727</v>
      </c>
    </row>
    <row r="31" spans="1:61" ht="18.399999999999999" customHeight="1">
      <c r="A31" s="28" t="s">
        <v>677</v>
      </c>
      <c r="B31" s="28" t="s">
        <v>785</v>
      </c>
      <c r="C31" s="2">
        <v>1</v>
      </c>
      <c r="D31" s="2" t="s">
        <v>619</v>
      </c>
      <c r="E31" s="1"/>
      <c r="F31" s="22">
        <f t="shared" si="0"/>
        <v>0</v>
      </c>
      <c r="G31" s="1"/>
      <c r="H31" s="22">
        <f>TRUNC(H32+H33+H34+H35+H36,0)</f>
        <v>0</v>
      </c>
      <c r="I31" s="1"/>
      <c r="J31" s="22">
        <f>TRUNC(J32+J33+J34+J35+J36,0)</f>
        <v>0</v>
      </c>
      <c r="K31" s="1"/>
      <c r="L31" s="22">
        <f>TRUNC(L32+L33+L34+L35+L36,0)</f>
        <v>0</v>
      </c>
      <c r="M31" s="28" t="s">
        <v>785</v>
      </c>
      <c r="N31" t="s">
        <v>785</v>
      </c>
      <c r="O31" t="s">
        <v>695</v>
      </c>
    </row>
    <row r="32" spans="1:61" ht="18.399999999999999" customHeight="1">
      <c r="A32" s="28" t="s">
        <v>629</v>
      </c>
      <c r="B32" s="28" t="s">
        <v>785</v>
      </c>
      <c r="C32" s="2">
        <v>1</v>
      </c>
      <c r="D32" s="2" t="s">
        <v>619</v>
      </c>
      <c r="E32" s="22">
        <f t="shared" ref="E32:E57" si="3">G32+I32+K32</f>
        <v>0</v>
      </c>
      <c r="F32" s="22">
        <f t="shared" si="0"/>
        <v>0</v>
      </c>
      <c r="G32" s="22">
        <f>H58</f>
        <v>0</v>
      </c>
      <c r="H32" s="22">
        <f>TRUNC(G32*C32,0)</f>
        <v>0</v>
      </c>
      <c r="I32" s="22">
        <f>J58</f>
        <v>0</v>
      </c>
      <c r="J32" s="22">
        <f>TRUNC(I32*C32,0)</f>
        <v>0</v>
      </c>
      <c r="K32" s="22">
        <f>L58</f>
        <v>0</v>
      </c>
      <c r="L32" s="22">
        <f>TRUNC(K32*C32,0)</f>
        <v>0</v>
      </c>
      <c r="M32" s="28" t="s">
        <v>785</v>
      </c>
      <c r="N32" t="s">
        <v>785</v>
      </c>
      <c r="P32" t="s">
        <v>102</v>
      </c>
      <c r="Q32" t="s">
        <v>785</v>
      </c>
      <c r="R32" t="s">
        <v>643</v>
      </c>
      <c r="BI32" s="24" t="str">
        <f>HYPERLINK("#내역서!A41","A01 →")</f>
        <v>A01 →</v>
      </c>
    </row>
    <row r="33" spans="1:61" ht="18.399999999999999" customHeight="1">
      <c r="A33" s="28" t="s">
        <v>560</v>
      </c>
      <c r="B33" s="28" t="s">
        <v>785</v>
      </c>
      <c r="C33" s="2">
        <v>1</v>
      </c>
      <c r="D33" s="2" t="s">
        <v>619</v>
      </c>
      <c r="E33" s="22">
        <f t="shared" si="3"/>
        <v>0</v>
      </c>
      <c r="F33" s="22">
        <f t="shared" si="0"/>
        <v>0</v>
      </c>
      <c r="G33" s="22">
        <f>H66</f>
        <v>0</v>
      </c>
      <c r="H33" s="22">
        <f>TRUNC(G33*C33,0)</f>
        <v>0</v>
      </c>
      <c r="I33" s="22">
        <f>J66</f>
        <v>0</v>
      </c>
      <c r="J33" s="22">
        <f>TRUNC(I33*C33,0)</f>
        <v>0</v>
      </c>
      <c r="K33" s="22">
        <f>L66</f>
        <v>0</v>
      </c>
      <c r="L33" s="22">
        <f>TRUNC(K33*C33,0)</f>
        <v>0</v>
      </c>
      <c r="M33" s="28" t="s">
        <v>785</v>
      </c>
      <c r="N33" t="s">
        <v>785</v>
      </c>
      <c r="P33" t="s">
        <v>675</v>
      </c>
      <c r="Q33" t="s">
        <v>785</v>
      </c>
      <c r="R33" t="s">
        <v>335</v>
      </c>
      <c r="BI33" s="24" t="str">
        <f>HYPERLINK("#내역서!A49","A02 →")</f>
        <v>A02 →</v>
      </c>
    </row>
    <row r="34" spans="1:61" ht="18.399999999999999" customHeight="1">
      <c r="A34" s="28" t="s">
        <v>131</v>
      </c>
      <c r="B34" s="28" t="s">
        <v>785</v>
      </c>
      <c r="C34" s="2">
        <v>1</v>
      </c>
      <c r="D34" s="2" t="s">
        <v>619</v>
      </c>
      <c r="E34" s="22">
        <f t="shared" si="3"/>
        <v>0</v>
      </c>
      <c r="F34" s="22">
        <f t="shared" ref="F34:F84" si="4">H34+J34+L34</f>
        <v>0</v>
      </c>
      <c r="G34" s="22">
        <f>H96</f>
        <v>0</v>
      </c>
      <c r="H34" s="22">
        <f>TRUNC(G34*C34,0)</f>
        <v>0</v>
      </c>
      <c r="I34" s="22">
        <f>J96</f>
        <v>0</v>
      </c>
      <c r="J34" s="22">
        <f>TRUNC(I34*C34,0)</f>
        <v>0</v>
      </c>
      <c r="K34" s="22">
        <f>L96</f>
        <v>0</v>
      </c>
      <c r="L34" s="22">
        <f>TRUNC(K34*C34,0)</f>
        <v>0</v>
      </c>
      <c r="M34" s="28" t="s">
        <v>785</v>
      </c>
      <c r="N34" t="s">
        <v>785</v>
      </c>
      <c r="P34" t="s">
        <v>490</v>
      </c>
      <c r="Q34" t="s">
        <v>785</v>
      </c>
      <c r="R34" t="s">
        <v>784</v>
      </c>
      <c r="BI34" s="24" t="str">
        <f>HYPERLINK("#내역서!A79","A03 →")</f>
        <v>A03 →</v>
      </c>
    </row>
    <row r="35" spans="1:61" ht="18.399999999999999" customHeight="1">
      <c r="A35" s="28" t="s">
        <v>14</v>
      </c>
      <c r="B35" s="28" t="s">
        <v>785</v>
      </c>
      <c r="C35" s="2">
        <v>1</v>
      </c>
      <c r="D35" s="2" t="s">
        <v>619</v>
      </c>
      <c r="E35" s="22">
        <f t="shared" si="3"/>
        <v>0</v>
      </c>
      <c r="F35" s="22">
        <f t="shared" si="4"/>
        <v>0</v>
      </c>
      <c r="G35" s="22">
        <f>H105</f>
        <v>0</v>
      </c>
      <c r="H35" s="22">
        <f>TRUNC(G35*C35,0)</f>
        <v>0</v>
      </c>
      <c r="I35" s="22">
        <f>J105</f>
        <v>0</v>
      </c>
      <c r="J35" s="22">
        <f>TRUNC(I35*C35,0)</f>
        <v>0</v>
      </c>
      <c r="K35" s="22">
        <f>L105</f>
        <v>0</v>
      </c>
      <c r="L35" s="22">
        <f>TRUNC(K35*C35,0)</f>
        <v>0</v>
      </c>
      <c r="M35" s="28" t="s">
        <v>785</v>
      </c>
      <c r="N35" t="s">
        <v>785</v>
      </c>
      <c r="P35" t="s">
        <v>87</v>
      </c>
      <c r="Q35" t="s">
        <v>785</v>
      </c>
      <c r="R35" t="s">
        <v>604</v>
      </c>
      <c r="BI35" s="24" t="str">
        <f>HYPERLINK("#내역서!A88","A05 →")</f>
        <v>A05 →</v>
      </c>
    </row>
    <row r="36" spans="1:61" ht="18.399999999999999" customHeight="1">
      <c r="A36" s="28" t="s">
        <v>83</v>
      </c>
      <c r="B36" s="28" t="s">
        <v>785</v>
      </c>
      <c r="C36" s="2">
        <v>1</v>
      </c>
      <c r="D36" s="2" t="s">
        <v>619</v>
      </c>
      <c r="E36" s="22">
        <f t="shared" si="3"/>
        <v>0</v>
      </c>
      <c r="F36" s="22">
        <f t="shared" si="4"/>
        <v>0</v>
      </c>
      <c r="G36" s="22">
        <f>H132</f>
        <v>0</v>
      </c>
      <c r="H36" s="22">
        <f>TRUNC(G36*C36,0)</f>
        <v>0</v>
      </c>
      <c r="I36" s="22">
        <f>J132</f>
        <v>0</v>
      </c>
      <c r="J36" s="22">
        <f>TRUNC(I36*C36,0)</f>
        <v>0</v>
      </c>
      <c r="K36" s="22">
        <f>L132</f>
        <v>0</v>
      </c>
      <c r="L36" s="22">
        <f>TRUNC(K36*C36,0)</f>
        <v>0</v>
      </c>
      <c r="M36" s="28" t="s">
        <v>785</v>
      </c>
      <c r="N36" t="s">
        <v>785</v>
      </c>
      <c r="P36" t="s">
        <v>662</v>
      </c>
      <c r="Q36" t="s">
        <v>785</v>
      </c>
      <c r="R36" t="s">
        <v>350</v>
      </c>
      <c r="BI36" s="24" t="str">
        <f>HYPERLINK("#내역서!A115","A06 →")</f>
        <v>A06 →</v>
      </c>
    </row>
    <row r="37" spans="1:61" ht="18.399999999999999" customHeight="1">
      <c r="A37" s="28"/>
      <c r="B37" s="28"/>
      <c r="C37" s="2"/>
      <c r="D37" s="2"/>
      <c r="E37" s="22"/>
      <c r="F37" s="22"/>
      <c r="G37" s="22"/>
      <c r="H37" s="22"/>
      <c r="I37" s="22"/>
      <c r="J37" s="22"/>
      <c r="K37" s="22"/>
      <c r="L37" s="22"/>
      <c r="M37" s="28"/>
      <c r="BI37" s="24"/>
    </row>
    <row r="38" spans="1:61" ht="18.399999999999999" customHeight="1">
      <c r="A38" s="28"/>
      <c r="B38" s="28"/>
      <c r="C38" s="2"/>
      <c r="D38" s="2"/>
      <c r="E38" s="22"/>
      <c r="F38" s="22"/>
      <c r="G38" s="22"/>
      <c r="H38" s="22"/>
      <c r="I38" s="22"/>
      <c r="J38" s="22"/>
      <c r="K38" s="22"/>
      <c r="L38" s="22"/>
      <c r="M38" s="28"/>
      <c r="BI38" s="24"/>
    </row>
    <row r="39" spans="1:61" ht="18.399999999999999" customHeight="1">
      <c r="A39" s="28"/>
      <c r="B39" s="28"/>
      <c r="C39" s="2"/>
      <c r="D39" s="2"/>
      <c r="E39" s="22"/>
      <c r="F39" s="22"/>
      <c r="G39" s="22"/>
      <c r="H39" s="22"/>
      <c r="I39" s="22"/>
      <c r="J39" s="22"/>
      <c r="K39" s="22"/>
      <c r="L39" s="22"/>
      <c r="M39" s="28"/>
      <c r="BI39" s="24"/>
    </row>
    <row r="40" spans="1:61" ht="18.399999999999999" customHeight="1">
      <c r="A40" s="28"/>
      <c r="B40" s="28"/>
      <c r="C40" s="2"/>
      <c r="D40" s="2"/>
      <c r="E40" s="22"/>
      <c r="F40" s="22"/>
      <c r="G40" s="22"/>
      <c r="H40" s="22"/>
      <c r="I40" s="22"/>
      <c r="J40" s="22"/>
      <c r="K40" s="22"/>
      <c r="L40" s="22"/>
      <c r="M40" s="28"/>
      <c r="BI40" s="24"/>
    </row>
    <row r="41" spans="1:61" ht="18.399999999999999" customHeight="1">
      <c r="A41" s="28"/>
      <c r="B41" s="28"/>
      <c r="C41" s="2"/>
      <c r="D41" s="2"/>
      <c r="E41" s="22"/>
      <c r="F41" s="22"/>
      <c r="G41" s="22"/>
      <c r="H41" s="22"/>
      <c r="I41" s="22"/>
      <c r="J41" s="22"/>
      <c r="K41" s="22"/>
      <c r="L41" s="22"/>
      <c r="M41" s="28"/>
      <c r="BI41" s="24"/>
    </row>
    <row r="42" spans="1:61" ht="18.399999999999999" customHeight="1">
      <c r="A42" s="28"/>
      <c r="B42" s="28"/>
      <c r="C42" s="2"/>
      <c r="D42" s="2"/>
      <c r="E42" s="22"/>
      <c r="F42" s="22"/>
      <c r="G42" s="22"/>
      <c r="H42" s="22"/>
      <c r="I42" s="22"/>
      <c r="J42" s="22"/>
      <c r="K42" s="22"/>
      <c r="L42" s="22"/>
      <c r="M42" s="28"/>
      <c r="BI42" s="24"/>
    </row>
    <row r="43" spans="1:61" ht="18.399999999999999" customHeight="1">
      <c r="A43" s="28"/>
      <c r="B43" s="28"/>
      <c r="C43" s="2"/>
      <c r="D43" s="2"/>
      <c r="E43" s="22"/>
      <c r="F43" s="22"/>
      <c r="G43" s="22"/>
      <c r="H43" s="22"/>
      <c r="I43" s="22"/>
      <c r="J43" s="22"/>
      <c r="K43" s="22"/>
      <c r="L43" s="22"/>
      <c r="M43" s="28"/>
      <c r="BI43" s="24"/>
    </row>
    <row r="44" spans="1:61" ht="18.399999999999999" customHeight="1">
      <c r="A44" s="28"/>
      <c r="B44" s="28"/>
      <c r="C44" s="2"/>
      <c r="D44" s="2"/>
      <c r="E44" s="22"/>
      <c r="F44" s="22"/>
      <c r="G44" s="22"/>
      <c r="H44" s="22"/>
      <c r="I44" s="22"/>
      <c r="J44" s="22"/>
      <c r="K44" s="22"/>
      <c r="L44" s="22"/>
      <c r="M44" s="28"/>
      <c r="BI44" s="24"/>
    </row>
    <row r="45" spans="1:61" ht="18.399999999999999" customHeight="1">
      <c r="A45" s="28"/>
      <c r="B45" s="28"/>
      <c r="C45" s="2"/>
      <c r="D45" s="2"/>
      <c r="E45" s="22"/>
      <c r="F45" s="22"/>
      <c r="G45" s="22"/>
      <c r="H45" s="22"/>
      <c r="I45" s="22"/>
      <c r="J45" s="22"/>
      <c r="K45" s="22"/>
      <c r="L45" s="22"/>
      <c r="M45" s="28"/>
      <c r="BI45" s="24"/>
    </row>
    <row r="46" spans="1:61" ht="18.399999999999999" customHeight="1">
      <c r="A46" s="28"/>
      <c r="B46" s="28"/>
      <c r="C46" s="2"/>
      <c r="D46" s="2"/>
      <c r="E46" s="22"/>
      <c r="F46" s="22"/>
      <c r="G46" s="22"/>
      <c r="H46" s="22"/>
      <c r="I46" s="22"/>
      <c r="J46" s="22"/>
      <c r="K46" s="22"/>
      <c r="L46" s="22"/>
      <c r="M46" s="28"/>
      <c r="BI46" s="24"/>
    </row>
    <row r="47" spans="1:61" ht="18.399999999999999" customHeight="1">
      <c r="A47" s="28"/>
      <c r="B47" s="28"/>
      <c r="C47" s="2"/>
      <c r="D47" s="2"/>
      <c r="E47" s="22"/>
      <c r="F47" s="22"/>
      <c r="G47" s="22"/>
      <c r="H47" s="22"/>
      <c r="I47" s="22"/>
      <c r="J47" s="22"/>
      <c r="K47" s="22"/>
      <c r="L47" s="22"/>
      <c r="M47" s="28"/>
      <c r="BI47" s="24"/>
    </row>
    <row r="48" spans="1:61" ht="18.399999999999999" customHeight="1">
      <c r="A48" s="28"/>
      <c r="B48" s="28"/>
      <c r="C48" s="2"/>
      <c r="D48" s="2"/>
      <c r="E48" s="22"/>
      <c r="F48" s="22"/>
      <c r="G48" s="22"/>
      <c r="H48" s="22"/>
      <c r="I48" s="22"/>
      <c r="J48" s="22"/>
      <c r="K48" s="22"/>
      <c r="L48" s="22"/>
      <c r="M48" s="28"/>
      <c r="BI48" s="24"/>
    </row>
    <row r="49" spans="1:61" ht="18.399999999999999" customHeight="1">
      <c r="A49" s="28"/>
      <c r="B49" s="28"/>
      <c r="C49" s="2"/>
      <c r="D49" s="2"/>
      <c r="E49" s="22"/>
      <c r="F49" s="22"/>
      <c r="G49" s="22"/>
      <c r="H49" s="22"/>
      <c r="I49" s="22"/>
      <c r="J49" s="22"/>
      <c r="K49" s="22"/>
      <c r="L49" s="22"/>
      <c r="M49" s="28"/>
      <c r="BI49" s="24"/>
    </row>
    <row r="50" spans="1:61" ht="18.399999999999999" customHeight="1">
      <c r="A50" s="28"/>
      <c r="B50" s="28"/>
      <c r="C50" s="2"/>
      <c r="D50" s="2"/>
      <c r="E50" s="22"/>
      <c r="F50" s="22"/>
      <c r="G50" s="22"/>
      <c r="H50" s="22"/>
      <c r="I50" s="22"/>
      <c r="J50" s="22"/>
      <c r="K50" s="22"/>
      <c r="L50" s="22"/>
      <c r="M50" s="28"/>
      <c r="BI50" s="24"/>
    </row>
    <row r="51" spans="1:61" ht="18.399999999999999" customHeight="1">
      <c r="A51" s="28"/>
      <c r="B51" s="28"/>
      <c r="C51" s="2"/>
      <c r="D51" s="2"/>
      <c r="E51" s="22"/>
      <c r="F51" s="22"/>
      <c r="G51" s="22"/>
      <c r="H51" s="22"/>
      <c r="I51" s="22"/>
      <c r="J51" s="22"/>
      <c r="K51" s="22"/>
      <c r="L51" s="22"/>
      <c r="M51" s="28"/>
      <c r="BI51" s="24"/>
    </row>
    <row r="52" spans="1:61" ht="18.399999999999999" customHeight="1">
      <c r="A52" s="28"/>
      <c r="B52" s="28"/>
      <c r="C52" s="2"/>
      <c r="D52" s="2"/>
      <c r="E52" s="22"/>
      <c r="F52" s="22"/>
      <c r="G52" s="22"/>
      <c r="H52" s="22"/>
      <c r="I52" s="22"/>
      <c r="J52" s="22"/>
      <c r="K52" s="22"/>
      <c r="L52" s="22"/>
      <c r="M52" s="28"/>
      <c r="BI52" s="24"/>
    </row>
    <row r="53" spans="1:61" ht="18.399999999999999" customHeight="1">
      <c r="A53" s="28"/>
      <c r="B53" s="28"/>
      <c r="C53" s="2"/>
      <c r="D53" s="2"/>
      <c r="E53" s="22"/>
      <c r="F53" s="22"/>
      <c r="G53" s="22"/>
      <c r="H53" s="22"/>
      <c r="I53" s="22"/>
      <c r="J53" s="22"/>
      <c r="K53" s="22"/>
      <c r="L53" s="22"/>
      <c r="M53" s="28"/>
      <c r="BI53" s="24"/>
    </row>
    <row r="54" spans="1:61" ht="18.399999999999999" customHeight="1">
      <c r="A54" s="28"/>
      <c r="B54" s="28"/>
      <c r="C54" s="2"/>
      <c r="D54" s="2"/>
      <c r="E54" s="22"/>
      <c r="F54" s="22"/>
      <c r="G54" s="22"/>
      <c r="H54" s="22"/>
      <c r="I54" s="22"/>
      <c r="J54" s="22"/>
      <c r="K54" s="22"/>
      <c r="L54" s="22"/>
      <c r="M54" s="28"/>
      <c r="BI54" s="24"/>
    </row>
    <row r="55" spans="1:61" ht="18.399999999999999" customHeight="1">
      <c r="A55" s="28"/>
      <c r="B55" s="28"/>
      <c r="C55" s="2"/>
      <c r="D55" s="2"/>
      <c r="E55" s="22"/>
      <c r="F55" s="22"/>
      <c r="G55" s="22"/>
      <c r="H55" s="22"/>
      <c r="I55" s="22"/>
      <c r="J55" s="22"/>
      <c r="K55" s="22"/>
      <c r="L55" s="22"/>
      <c r="M55" s="28"/>
      <c r="BI55" s="24"/>
    </row>
    <row r="56" spans="1:61" ht="18.399999999999999" customHeight="1">
      <c r="A56" s="28" t="s">
        <v>328</v>
      </c>
      <c r="B56" s="28" t="s">
        <v>785</v>
      </c>
      <c r="C56" s="2"/>
      <c r="D56" s="2" t="s">
        <v>785</v>
      </c>
      <c r="E56" s="22">
        <f t="shared" si="3"/>
        <v>0</v>
      </c>
      <c r="F56" s="22">
        <f t="shared" si="4"/>
        <v>0</v>
      </c>
      <c r="G56" s="1"/>
      <c r="H56" s="22">
        <v>0</v>
      </c>
      <c r="I56" s="1"/>
      <c r="J56" s="22">
        <v>0</v>
      </c>
      <c r="K56" s="1"/>
      <c r="L56" s="22">
        <v>0</v>
      </c>
      <c r="M56" s="28" t="s">
        <v>785</v>
      </c>
      <c r="N56" t="s">
        <v>785</v>
      </c>
      <c r="P56" t="s">
        <v>477</v>
      </c>
      <c r="Q56" t="s">
        <v>507</v>
      </c>
      <c r="R56" t="s">
        <v>785</v>
      </c>
    </row>
    <row r="57" spans="1:61" ht="18.399999999999999" customHeight="1">
      <c r="A57" s="28" t="s">
        <v>328</v>
      </c>
      <c r="B57" s="28" t="s">
        <v>785</v>
      </c>
      <c r="C57" s="2"/>
      <c r="D57" s="2" t="s">
        <v>785</v>
      </c>
      <c r="E57" s="22">
        <f t="shared" si="3"/>
        <v>0</v>
      </c>
      <c r="F57" s="22">
        <f t="shared" si="4"/>
        <v>0</v>
      </c>
      <c r="G57" s="1"/>
      <c r="H57" s="22">
        <v>0</v>
      </c>
      <c r="I57" s="1"/>
      <c r="J57" s="22">
        <v>0</v>
      </c>
      <c r="K57" s="1"/>
      <c r="L57" s="22">
        <v>0</v>
      </c>
      <c r="M57" s="28" t="s">
        <v>785</v>
      </c>
      <c r="N57" t="s">
        <v>785</v>
      </c>
      <c r="P57" t="s">
        <v>266</v>
      </c>
      <c r="Q57" t="s">
        <v>187</v>
      </c>
      <c r="R57" t="s">
        <v>785</v>
      </c>
    </row>
    <row r="58" spans="1:61" ht="18.399999999999999" customHeight="1">
      <c r="A58" s="28" t="s">
        <v>676</v>
      </c>
      <c r="B58" s="28" t="s">
        <v>785</v>
      </c>
      <c r="C58" s="2">
        <v>1</v>
      </c>
      <c r="D58" s="2" t="s">
        <v>619</v>
      </c>
      <c r="E58" s="1"/>
      <c r="F58" s="22">
        <f t="shared" si="4"/>
        <v>0</v>
      </c>
      <c r="G58" s="1"/>
      <c r="H58" s="22">
        <f>TRUNC(H60+H62+H63,0)</f>
        <v>0</v>
      </c>
      <c r="I58" s="1"/>
      <c r="J58" s="22">
        <f>TRUNC(J60+J62+J63,0)</f>
        <v>0</v>
      </c>
      <c r="K58" s="1"/>
      <c r="L58" s="22">
        <f>TRUNC(L60+L62+L63,0)</f>
        <v>0</v>
      </c>
      <c r="M58" s="28" t="s">
        <v>785</v>
      </c>
      <c r="N58" t="s">
        <v>785</v>
      </c>
      <c r="O58" t="s">
        <v>643</v>
      </c>
    </row>
    <row r="59" spans="1:61" ht="18.399999999999999" customHeight="1">
      <c r="A59" s="28" t="s">
        <v>406</v>
      </c>
      <c r="B59" s="28" t="s">
        <v>785</v>
      </c>
      <c r="C59" s="2"/>
      <c r="D59" s="2" t="s">
        <v>785</v>
      </c>
      <c r="E59" s="22">
        <f t="shared" ref="E59:E65" si="5">G59+I59+K59</f>
        <v>0</v>
      </c>
      <c r="F59" s="22">
        <f t="shared" si="4"/>
        <v>0</v>
      </c>
      <c r="G59" s="1"/>
      <c r="H59" s="22">
        <f>TRUNC(H60,0)</f>
        <v>0</v>
      </c>
      <c r="I59" s="1"/>
      <c r="J59" s="22">
        <f>TRUNC(J60,0)</f>
        <v>0</v>
      </c>
      <c r="K59" s="1"/>
      <c r="L59" s="22">
        <f>TRUNC(L60,0)</f>
        <v>0</v>
      </c>
      <c r="M59" s="28" t="s">
        <v>785</v>
      </c>
      <c r="N59" t="s">
        <v>785</v>
      </c>
      <c r="P59" t="s">
        <v>102</v>
      </c>
      <c r="Q59" t="s">
        <v>785</v>
      </c>
      <c r="R59" t="s">
        <v>785</v>
      </c>
    </row>
    <row r="60" spans="1:61" ht="18.399999999999999" customHeight="1">
      <c r="A60" s="28" t="s">
        <v>121</v>
      </c>
      <c r="B60" s="28" t="s">
        <v>336</v>
      </c>
      <c r="C60" s="2">
        <v>329</v>
      </c>
      <c r="D60" s="2" t="s">
        <v>564</v>
      </c>
      <c r="E60" s="22">
        <f t="shared" si="5"/>
        <v>0</v>
      </c>
      <c r="F60" s="22">
        <f t="shared" si="4"/>
        <v>0</v>
      </c>
      <c r="G60" s="22"/>
      <c r="H60" s="22">
        <f>TRUNC(G60*C60,0)</f>
        <v>0</v>
      </c>
      <c r="I60" s="22"/>
      <c r="J60" s="22">
        <f>TRUNC(I60*C60,0)</f>
        <v>0</v>
      </c>
      <c r="K60" s="22"/>
      <c r="L60" s="22">
        <f>TRUNC(K60*C60,0)</f>
        <v>0</v>
      </c>
      <c r="M60" s="28" t="s">
        <v>210</v>
      </c>
      <c r="N60" t="s">
        <v>785</v>
      </c>
      <c r="P60" t="s">
        <v>675</v>
      </c>
      <c r="Q60" t="s">
        <v>785</v>
      </c>
      <c r="R60" t="s">
        <v>114</v>
      </c>
      <c r="T60" t="s">
        <v>651</v>
      </c>
      <c r="BI60" s="24" t="str">
        <f>HYPERLINK("#일위대가목록!A3","SA00550 →")</f>
        <v>SA00550 →</v>
      </c>
    </row>
    <row r="61" spans="1:61" ht="18.399999999999999" customHeight="1">
      <c r="A61" s="28" t="s">
        <v>679</v>
      </c>
      <c r="B61" s="28" t="s">
        <v>785</v>
      </c>
      <c r="C61" s="2"/>
      <c r="D61" s="2" t="s">
        <v>785</v>
      </c>
      <c r="E61" s="22">
        <f t="shared" si="5"/>
        <v>0</v>
      </c>
      <c r="F61" s="22">
        <f t="shared" si="4"/>
        <v>0</v>
      </c>
      <c r="G61" s="1"/>
      <c r="H61" s="22">
        <f>TRUNC(H62+H63,0)</f>
        <v>0</v>
      </c>
      <c r="I61" s="1"/>
      <c r="J61" s="22">
        <f>TRUNC(J62+J63,0)</f>
        <v>0</v>
      </c>
      <c r="K61" s="1"/>
      <c r="L61" s="22">
        <f>TRUNC(L62+L63,0)</f>
        <v>0</v>
      </c>
      <c r="M61" s="28" t="s">
        <v>785</v>
      </c>
      <c r="N61" t="s">
        <v>785</v>
      </c>
      <c r="P61" t="s">
        <v>250</v>
      </c>
      <c r="Q61" t="s">
        <v>785</v>
      </c>
      <c r="R61" t="s">
        <v>785</v>
      </c>
    </row>
    <row r="62" spans="1:61" ht="18.399999999999999" customHeight="1">
      <c r="A62" s="28" t="s">
        <v>534</v>
      </c>
      <c r="B62" s="28" t="s">
        <v>354</v>
      </c>
      <c r="C62" s="2">
        <v>2</v>
      </c>
      <c r="D62" s="2" t="s">
        <v>502</v>
      </c>
      <c r="E62" s="22">
        <f t="shared" si="5"/>
        <v>0</v>
      </c>
      <c r="F62" s="22">
        <f t="shared" si="4"/>
        <v>0</v>
      </c>
      <c r="G62" s="22"/>
      <c r="H62" s="22">
        <f>TRUNC(G62*C62,0)</f>
        <v>0</v>
      </c>
      <c r="I62" s="22"/>
      <c r="J62" s="22">
        <f>TRUNC(I62*C62,0)</f>
        <v>0</v>
      </c>
      <c r="K62" s="22"/>
      <c r="L62" s="22">
        <f>TRUNC(K62*C62,0)</f>
        <v>0</v>
      </c>
      <c r="M62" s="28" t="s">
        <v>395</v>
      </c>
      <c r="N62" t="s">
        <v>785</v>
      </c>
      <c r="P62" t="s">
        <v>396</v>
      </c>
      <c r="Q62" t="s">
        <v>785</v>
      </c>
      <c r="R62" t="s">
        <v>395</v>
      </c>
      <c r="BI62" s="24" t="str">
        <f>HYPERLINK("#경비!A3","GABC0010 →")</f>
        <v>GABC0010 →</v>
      </c>
    </row>
    <row r="63" spans="1:61" ht="18.399999999999999" customHeight="1">
      <c r="A63" s="28" t="s">
        <v>342</v>
      </c>
      <c r="B63" s="28" t="s">
        <v>88</v>
      </c>
      <c r="C63" s="2">
        <v>2</v>
      </c>
      <c r="D63" s="2" t="s">
        <v>135</v>
      </c>
      <c r="E63" s="22">
        <f t="shared" si="5"/>
        <v>0</v>
      </c>
      <c r="F63" s="22">
        <f t="shared" si="4"/>
        <v>0</v>
      </c>
      <c r="G63" s="22"/>
      <c r="H63" s="22">
        <f>TRUNC(G63*C63,0)</f>
        <v>0</v>
      </c>
      <c r="I63" s="22"/>
      <c r="J63" s="22">
        <f>TRUNC(I63*C63,0)</f>
        <v>0</v>
      </c>
      <c r="K63" s="22"/>
      <c r="L63" s="22">
        <f>TRUNC(K63*C63,0)</f>
        <v>0</v>
      </c>
      <c r="M63" s="28" t="s">
        <v>626</v>
      </c>
      <c r="N63" t="s">
        <v>785</v>
      </c>
      <c r="P63" t="s">
        <v>382</v>
      </c>
      <c r="Q63" t="s">
        <v>785</v>
      </c>
      <c r="R63" t="s">
        <v>626</v>
      </c>
      <c r="BI63" s="24" t="str">
        <f>HYPERLINK("#경비!A4","GBABC0020 →")</f>
        <v>GBABC0020 →</v>
      </c>
    </row>
    <row r="64" spans="1:61" ht="18.399999999999999" customHeight="1">
      <c r="A64" s="28" t="s">
        <v>328</v>
      </c>
      <c r="B64" s="28" t="s">
        <v>785</v>
      </c>
      <c r="C64" s="2"/>
      <c r="D64" s="2" t="s">
        <v>785</v>
      </c>
      <c r="E64" s="22">
        <f t="shared" si="5"/>
        <v>0</v>
      </c>
      <c r="F64" s="22">
        <f t="shared" si="4"/>
        <v>0</v>
      </c>
      <c r="G64" s="1"/>
      <c r="H64" s="22">
        <v>0</v>
      </c>
      <c r="I64" s="1"/>
      <c r="J64" s="22">
        <v>0</v>
      </c>
      <c r="K64" s="1"/>
      <c r="L64" s="22">
        <v>0</v>
      </c>
      <c r="M64" s="28" t="s">
        <v>785</v>
      </c>
      <c r="N64" t="s">
        <v>785</v>
      </c>
      <c r="P64" t="s">
        <v>490</v>
      </c>
      <c r="Q64" t="s">
        <v>507</v>
      </c>
      <c r="R64" t="s">
        <v>785</v>
      </c>
    </row>
    <row r="65" spans="1:61" ht="18.399999999999999" customHeight="1">
      <c r="A65" s="28" t="s">
        <v>328</v>
      </c>
      <c r="B65" s="28" t="s">
        <v>785</v>
      </c>
      <c r="C65" s="2"/>
      <c r="D65" s="2" t="s">
        <v>785</v>
      </c>
      <c r="E65" s="22">
        <f t="shared" si="5"/>
        <v>0</v>
      </c>
      <c r="F65" s="22">
        <f t="shared" si="4"/>
        <v>0</v>
      </c>
      <c r="G65" s="1"/>
      <c r="H65" s="22">
        <v>0</v>
      </c>
      <c r="I65" s="1"/>
      <c r="J65" s="22">
        <v>0</v>
      </c>
      <c r="K65" s="1"/>
      <c r="L65" s="22">
        <v>0</v>
      </c>
      <c r="M65" s="28" t="s">
        <v>785</v>
      </c>
      <c r="N65" t="s">
        <v>785</v>
      </c>
      <c r="P65" t="s">
        <v>291</v>
      </c>
      <c r="Q65" t="s">
        <v>187</v>
      </c>
      <c r="R65" t="s">
        <v>785</v>
      </c>
    </row>
    <row r="66" spans="1:61" ht="18.399999999999999" customHeight="1">
      <c r="A66" s="28" t="s">
        <v>554</v>
      </c>
      <c r="B66" s="28" t="s">
        <v>785</v>
      </c>
      <c r="C66" s="2">
        <v>1</v>
      </c>
      <c r="D66" s="2" t="s">
        <v>619</v>
      </c>
      <c r="E66" s="1"/>
      <c r="F66" s="22">
        <f t="shared" si="4"/>
        <v>0</v>
      </c>
      <c r="G66" s="1"/>
      <c r="H66" s="22">
        <f>TRUNC(H67+H68+H69+H70+H71+H72+H73+H74+H75+H76+H77+H78+H79+H80+H81+H82+H83+H84+H85+H86+H87+H88+H89+H90+H91+H92+H93,0)</f>
        <v>0</v>
      </c>
      <c r="I66" s="1"/>
      <c r="J66" s="22">
        <f>TRUNC(J67+J68+J69+J70+J71+J72+J73+J74+J75+J76+J77+J78+J79+J80+J81+J82+J83+J84+J85+J86+J87+J88+J89+J90+J91+J92+J93,0)</f>
        <v>0</v>
      </c>
      <c r="K66" s="1"/>
      <c r="L66" s="22">
        <f>TRUNC(L67+L68+L69+L70+L71+L72+L73+L74+L75+L76+L77+L78+L79+L80+L81+L82+L83+L84+L85+L86+L87+L88+L89+L90+L91+L92+L93,0)</f>
        <v>0</v>
      </c>
      <c r="M66" s="28" t="s">
        <v>785</v>
      </c>
      <c r="N66" t="s">
        <v>785</v>
      </c>
      <c r="O66" t="s">
        <v>335</v>
      </c>
    </row>
    <row r="67" spans="1:61" ht="18.399999999999999" customHeight="1">
      <c r="A67" s="28" t="s">
        <v>500</v>
      </c>
      <c r="B67" s="28" t="s">
        <v>785</v>
      </c>
      <c r="C67" s="2">
        <v>1</v>
      </c>
      <c r="D67" s="2" t="s">
        <v>502</v>
      </c>
      <c r="E67" s="22">
        <f t="shared" ref="E67:E95" si="6">G67+I67+K67</f>
        <v>0</v>
      </c>
      <c r="F67" s="22">
        <f t="shared" si="4"/>
        <v>0</v>
      </c>
      <c r="G67" s="22"/>
      <c r="H67" s="22">
        <f t="shared" ref="H67:H93" si="7">TRUNC(G67*C67,0)</f>
        <v>0</v>
      </c>
      <c r="I67" s="22"/>
      <c r="J67" s="22">
        <f t="shared" ref="J67:J93" si="8">TRUNC(I67*C67,0)</f>
        <v>0</v>
      </c>
      <c r="K67" s="22"/>
      <c r="L67" s="22">
        <f t="shared" ref="L67:L93" si="9">TRUNC(K67*C67,0)</f>
        <v>0</v>
      </c>
      <c r="M67" s="28" t="s">
        <v>188</v>
      </c>
      <c r="N67" t="s">
        <v>785</v>
      </c>
      <c r="P67" t="s">
        <v>102</v>
      </c>
      <c r="Q67" t="s">
        <v>785</v>
      </c>
      <c r="R67" t="s">
        <v>541</v>
      </c>
      <c r="T67" t="s">
        <v>498</v>
      </c>
      <c r="BI67" s="24" t="str">
        <f>HYPERLINK("#일위대가목록!A33","SWRJ0010 →")</f>
        <v>SWRJ0010 →</v>
      </c>
    </row>
    <row r="68" spans="1:61" ht="18.399999999999999" customHeight="1">
      <c r="A68" s="28" t="s">
        <v>26</v>
      </c>
      <c r="B68" s="28" t="s">
        <v>785</v>
      </c>
      <c r="C68" s="2">
        <v>1</v>
      </c>
      <c r="D68" s="2" t="s">
        <v>502</v>
      </c>
      <c r="E68" s="22">
        <f t="shared" si="6"/>
        <v>0</v>
      </c>
      <c r="F68" s="22">
        <f t="shared" si="4"/>
        <v>0</v>
      </c>
      <c r="G68" s="22"/>
      <c r="H68" s="22">
        <f t="shared" si="7"/>
        <v>0</v>
      </c>
      <c r="I68" s="22"/>
      <c r="J68" s="22">
        <f t="shared" si="8"/>
        <v>0</v>
      </c>
      <c r="K68" s="22"/>
      <c r="L68" s="22">
        <f t="shared" si="9"/>
        <v>0</v>
      </c>
      <c r="M68" s="28" t="s">
        <v>412</v>
      </c>
      <c r="N68" t="s">
        <v>785</v>
      </c>
      <c r="P68" t="s">
        <v>675</v>
      </c>
      <c r="Q68" t="s">
        <v>785</v>
      </c>
      <c r="R68" t="s">
        <v>356</v>
      </c>
      <c r="T68" t="s">
        <v>498</v>
      </c>
      <c r="BI68" s="24" t="str">
        <f>HYPERLINK("#일위대가목록!A34","SWRJ0020 →")</f>
        <v>SWRJ0020 →</v>
      </c>
    </row>
    <row r="69" spans="1:61" ht="18.399999999999999" customHeight="1">
      <c r="A69" s="28" t="s">
        <v>704</v>
      </c>
      <c r="B69" s="28" t="s">
        <v>785</v>
      </c>
      <c r="C69" s="2">
        <v>2</v>
      </c>
      <c r="D69" s="2" t="s">
        <v>502</v>
      </c>
      <c r="E69" s="22">
        <f t="shared" si="6"/>
        <v>0</v>
      </c>
      <c r="F69" s="22">
        <f t="shared" si="4"/>
        <v>0</v>
      </c>
      <c r="G69" s="22"/>
      <c r="H69" s="22">
        <f t="shared" si="7"/>
        <v>0</v>
      </c>
      <c r="I69" s="22"/>
      <c r="J69" s="22">
        <f t="shared" si="8"/>
        <v>0</v>
      </c>
      <c r="K69" s="22"/>
      <c r="L69" s="22">
        <f t="shared" si="9"/>
        <v>0</v>
      </c>
      <c r="M69" s="28" t="s">
        <v>50</v>
      </c>
      <c r="N69" t="s">
        <v>785</v>
      </c>
      <c r="P69" t="s">
        <v>490</v>
      </c>
      <c r="Q69" t="s">
        <v>785</v>
      </c>
      <c r="R69" t="s">
        <v>160</v>
      </c>
      <c r="T69" t="s">
        <v>498</v>
      </c>
      <c r="BI69" s="24" t="str">
        <f>HYPERLINK("#일위대가목록!A35","SWRJ0030 →")</f>
        <v>SWRJ0030 →</v>
      </c>
    </row>
    <row r="70" spans="1:61" ht="18.399999999999999" customHeight="1">
      <c r="A70" s="28" t="s">
        <v>384</v>
      </c>
      <c r="B70" s="28" t="s">
        <v>785</v>
      </c>
      <c r="C70" s="2">
        <v>2</v>
      </c>
      <c r="D70" s="2" t="s">
        <v>502</v>
      </c>
      <c r="E70" s="22">
        <f t="shared" si="6"/>
        <v>0</v>
      </c>
      <c r="F70" s="22">
        <f t="shared" si="4"/>
        <v>0</v>
      </c>
      <c r="G70" s="22"/>
      <c r="H70" s="22">
        <f t="shared" si="7"/>
        <v>0</v>
      </c>
      <c r="I70" s="22"/>
      <c r="J70" s="22">
        <f t="shared" si="8"/>
        <v>0</v>
      </c>
      <c r="K70" s="22"/>
      <c r="L70" s="22">
        <f t="shared" si="9"/>
        <v>0</v>
      </c>
      <c r="M70" s="28" t="s">
        <v>539</v>
      </c>
      <c r="N70" t="s">
        <v>785</v>
      </c>
      <c r="P70" t="s">
        <v>291</v>
      </c>
      <c r="Q70" t="s">
        <v>785</v>
      </c>
      <c r="R70" t="s">
        <v>754</v>
      </c>
      <c r="T70" t="s">
        <v>498</v>
      </c>
      <c r="BI70" s="24" t="str">
        <f>HYPERLINK("#일위대가목록!A36","SWRJ0040 →")</f>
        <v>SWRJ0040 →</v>
      </c>
    </row>
    <row r="71" spans="1:61" ht="18.399999999999999" customHeight="1">
      <c r="A71" s="28" t="s">
        <v>622</v>
      </c>
      <c r="B71" s="28" t="s">
        <v>785</v>
      </c>
      <c r="C71" s="2">
        <v>1</v>
      </c>
      <c r="D71" s="2" t="s">
        <v>502</v>
      </c>
      <c r="E71" s="22">
        <f t="shared" si="6"/>
        <v>0</v>
      </c>
      <c r="F71" s="22">
        <f t="shared" si="4"/>
        <v>0</v>
      </c>
      <c r="G71" s="22"/>
      <c r="H71" s="22">
        <f t="shared" si="7"/>
        <v>0</v>
      </c>
      <c r="I71" s="22"/>
      <c r="J71" s="22">
        <f t="shared" si="8"/>
        <v>0</v>
      </c>
      <c r="K71" s="22"/>
      <c r="L71" s="22">
        <f t="shared" si="9"/>
        <v>0</v>
      </c>
      <c r="M71" s="28" t="s">
        <v>120</v>
      </c>
      <c r="N71" t="s">
        <v>785</v>
      </c>
      <c r="P71" t="s">
        <v>87</v>
      </c>
      <c r="Q71" t="s">
        <v>785</v>
      </c>
      <c r="R71" t="s">
        <v>549</v>
      </c>
      <c r="T71" t="s">
        <v>498</v>
      </c>
      <c r="BI71" s="24" t="str">
        <f>HYPERLINK("#일위대가목록!A37","SWRJ0050 →")</f>
        <v>SWRJ0050 →</v>
      </c>
    </row>
    <row r="72" spans="1:61" ht="18.399999999999999" customHeight="1">
      <c r="A72" s="28" t="s">
        <v>312</v>
      </c>
      <c r="B72" s="28" t="s">
        <v>785</v>
      </c>
      <c r="C72" s="2">
        <v>1</v>
      </c>
      <c r="D72" s="2" t="s">
        <v>502</v>
      </c>
      <c r="E72" s="22">
        <f t="shared" si="6"/>
        <v>0</v>
      </c>
      <c r="F72" s="22">
        <f t="shared" si="4"/>
        <v>0</v>
      </c>
      <c r="G72" s="22"/>
      <c r="H72" s="22">
        <f t="shared" si="7"/>
        <v>0</v>
      </c>
      <c r="I72" s="22"/>
      <c r="J72" s="22">
        <f t="shared" si="8"/>
        <v>0</v>
      </c>
      <c r="K72" s="22"/>
      <c r="L72" s="22">
        <f t="shared" si="9"/>
        <v>0</v>
      </c>
      <c r="M72" s="28" t="s">
        <v>491</v>
      </c>
      <c r="N72" t="s">
        <v>785</v>
      </c>
      <c r="P72" t="s">
        <v>662</v>
      </c>
      <c r="Q72" t="s">
        <v>785</v>
      </c>
      <c r="R72" t="s">
        <v>369</v>
      </c>
      <c r="T72" t="s">
        <v>498</v>
      </c>
      <c r="BI72" s="24" t="str">
        <f>HYPERLINK("#일위대가목록!A38","SWRJ0060 →")</f>
        <v>SWRJ0060 →</v>
      </c>
    </row>
    <row r="73" spans="1:61" ht="18.399999999999999" customHeight="1">
      <c r="A73" s="28" t="s">
        <v>586</v>
      </c>
      <c r="B73" s="28" t="s">
        <v>785</v>
      </c>
      <c r="C73" s="2">
        <v>1</v>
      </c>
      <c r="D73" s="2" t="s">
        <v>502</v>
      </c>
      <c r="E73" s="22">
        <f t="shared" si="6"/>
        <v>0</v>
      </c>
      <c r="F73" s="22">
        <f t="shared" si="4"/>
        <v>0</v>
      </c>
      <c r="G73" s="22"/>
      <c r="H73" s="22">
        <f t="shared" si="7"/>
        <v>0</v>
      </c>
      <c r="I73" s="22"/>
      <c r="J73" s="22">
        <f t="shared" si="8"/>
        <v>0</v>
      </c>
      <c r="K73" s="22"/>
      <c r="L73" s="22">
        <f t="shared" si="9"/>
        <v>0</v>
      </c>
      <c r="M73" s="28" t="s">
        <v>35</v>
      </c>
      <c r="N73" t="s">
        <v>785</v>
      </c>
      <c r="P73" t="s">
        <v>477</v>
      </c>
      <c r="Q73" t="s">
        <v>785</v>
      </c>
      <c r="R73" t="s">
        <v>173</v>
      </c>
      <c r="T73" t="s">
        <v>498</v>
      </c>
      <c r="BI73" s="24" t="str">
        <f>HYPERLINK("#일위대가목록!A39","SWRJ0070 →")</f>
        <v>SWRJ0070 →</v>
      </c>
    </row>
    <row r="74" spans="1:61" ht="18.399999999999999" customHeight="1">
      <c r="A74" s="28" t="s">
        <v>387</v>
      </c>
      <c r="B74" s="28" t="s">
        <v>785</v>
      </c>
      <c r="C74" s="2">
        <v>1</v>
      </c>
      <c r="D74" s="2" t="s">
        <v>502</v>
      </c>
      <c r="E74" s="22">
        <f t="shared" si="6"/>
        <v>0</v>
      </c>
      <c r="F74" s="22">
        <f t="shared" si="4"/>
        <v>0</v>
      </c>
      <c r="G74" s="22"/>
      <c r="H74" s="22">
        <f t="shared" si="7"/>
        <v>0</v>
      </c>
      <c r="I74" s="22"/>
      <c r="J74" s="22">
        <f t="shared" si="8"/>
        <v>0</v>
      </c>
      <c r="K74" s="22"/>
      <c r="L74" s="22">
        <f t="shared" si="9"/>
        <v>0</v>
      </c>
      <c r="M74" s="28" t="s">
        <v>481</v>
      </c>
      <c r="N74" t="s">
        <v>785</v>
      </c>
      <c r="P74" t="s">
        <v>266</v>
      </c>
      <c r="Q74" t="s">
        <v>785</v>
      </c>
      <c r="R74" t="s">
        <v>764</v>
      </c>
      <c r="T74" t="s">
        <v>498</v>
      </c>
      <c r="BI74" s="24" t="str">
        <f>HYPERLINK("#일위대가목록!A40","SWRJ0080 →")</f>
        <v>SWRJ0080 →</v>
      </c>
    </row>
    <row r="75" spans="1:61" ht="18.399999999999999" customHeight="1">
      <c r="A75" s="28" t="s">
        <v>661</v>
      </c>
      <c r="B75" s="28" t="s">
        <v>785</v>
      </c>
      <c r="C75" s="2">
        <v>1</v>
      </c>
      <c r="D75" s="2" t="s">
        <v>502</v>
      </c>
      <c r="E75" s="22">
        <f t="shared" si="6"/>
        <v>0</v>
      </c>
      <c r="F75" s="22">
        <f t="shared" si="4"/>
        <v>0</v>
      </c>
      <c r="G75" s="22"/>
      <c r="H75" s="22">
        <f t="shared" si="7"/>
        <v>0</v>
      </c>
      <c r="I75" s="22"/>
      <c r="J75" s="22">
        <f t="shared" si="8"/>
        <v>0</v>
      </c>
      <c r="K75" s="22"/>
      <c r="L75" s="22">
        <f t="shared" si="9"/>
        <v>0</v>
      </c>
      <c r="M75" s="28" t="s">
        <v>37</v>
      </c>
      <c r="N75" t="s">
        <v>785</v>
      </c>
      <c r="P75" t="s">
        <v>68</v>
      </c>
      <c r="Q75" t="s">
        <v>785</v>
      </c>
      <c r="R75" t="s">
        <v>561</v>
      </c>
      <c r="T75" t="s">
        <v>498</v>
      </c>
      <c r="BI75" s="24" t="str">
        <f>HYPERLINK("#일위대가목록!A41","SWRJ0090 →")</f>
        <v>SWRJ0090 →</v>
      </c>
    </row>
    <row r="76" spans="1:61" ht="18.399999999999999" customHeight="1">
      <c r="A76" s="28" t="s">
        <v>377</v>
      </c>
      <c r="B76" s="28" t="s">
        <v>785</v>
      </c>
      <c r="C76" s="2">
        <v>1</v>
      </c>
      <c r="D76" s="2" t="s">
        <v>502</v>
      </c>
      <c r="E76" s="22">
        <f t="shared" si="6"/>
        <v>0</v>
      </c>
      <c r="F76" s="22">
        <f t="shared" si="4"/>
        <v>0</v>
      </c>
      <c r="G76" s="22"/>
      <c r="H76" s="22">
        <f t="shared" si="7"/>
        <v>0</v>
      </c>
      <c r="I76" s="22"/>
      <c r="J76" s="22">
        <f t="shared" si="8"/>
        <v>0</v>
      </c>
      <c r="K76" s="22"/>
      <c r="L76" s="22">
        <f t="shared" si="9"/>
        <v>0</v>
      </c>
      <c r="M76" s="28" t="s">
        <v>715</v>
      </c>
      <c r="N76" t="s">
        <v>785</v>
      </c>
      <c r="P76" t="s">
        <v>65</v>
      </c>
      <c r="Q76" t="s">
        <v>785</v>
      </c>
      <c r="R76" t="s">
        <v>596</v>
      </c>
      <c r="T76" t="s">
        <v>498</v>
      </c>
      <c r="BI76" s="24" t="str">
        <f>HYPERLINK("#일위대가목록!A42","SWRJ0100 →")</f>
        <v>SWRJ0100 →</v>
      </c>
    </row>
    <row r="77" spans="1:61" ht="18.399999999999999" customHeight="1">
      <c r="A77" s="28" t="s">
        <v>54</v>
      </c>
      <c r="B77" s="28" t="s">
        <v>785</v>
      </c>
      <c r="C77" s="2">
        <v>1</v>
      </c>
      <c r="D77" s="2" t="s">
        <v>502</v>
      </c>
      <c r="E77" s="22">
        <f t="shared" si="6"/>
        <v>0</v>
      </c>
      <c r="F77" s="22">
        <f t="shared" si="4"/>
        <v>0</v>
      </c>
      <c r="G77" s="22"/>
      <c r="H77" s="22">
        <f t="shared" si="7"/>
        <v>0</v>
      </c>
      <c r="I77" s="22"/>
      <c r="J77" s="22">
        <f t="shared" si="8"/>
        <v>0</v>
      </c>
      <c r="K77" s="22"/>
      <c r="L77" s="22">
        <f t="shared" si="9"/>
        <v>0</v>
      </c>
      <c r="M77" s="28" t="s">
        <v>399</v>
      </c>
      <c r="N77" t="s">
        <v>785</v>
      </c>
      <c r="P77" t="s">
        <v>257</v>
      </c>
      <c r="Q77" t="s">
        <v>785</v>
      </c>
      <c r="R77" t="s">
        <v>418</v>
      </c>
      <c r="T77" t="s">
        <v>498</v>
      </c>
      <c r="BI77" s="24" t="str">
        <f>HYPERLINK("#일위대가목록!A43","SWRJ0110 →")</f>
        <v>SWRJ0110 →</v>
      </c>
    </row>
    <row r="78" spans="1:61" ht="18.399999999999999" customHeight="1">
      <c r="A78" s="28" t="s">
        <v>256</v>
      </c>
      <c r="B78" s="28" t="s">
        <v>182</v>
      </c>
      <c r="C78" s="2">
        <v>2</v>
      </c>
      <c r="D78" s="2" t="s">
        <v>502</v>
      </c>
      <c r="E78" s="22">
        <f t="shared" si="6"/>
        <v>0</v>
      </c>
      <c r="F78" s="22">
        <f t="shared" si="4"/>
        <v>0</v>
      </c>
      <c r="G78" s="22"/>
      <c r="H78" s="22">
        <f t="shared" si="7"/>
        <v>0</v>
      </c>
      <c r="I78" s="22"/>
      <c r="J78" s="22">
        <f t="shared" si="8"/>
        <v>0</v>
      </c>
      <c r="K78" s="22"/>
      <c r="L78" s="22">
        <f t="shared" si="9"/>
        <v>0</v>
      </c>
      <c r="M78" s="28" t="s">
        <v>589</v>
      </c>
      <c r="N78" t="s">
        <v>785</v>
      </c>
      <c r="P78" t="s">
        <v>471</v>
      </c>
      <c r="Q78" t="s">
        <v>785</v>
      </c>
      <c r="R78" t="s">
        <v>222</v>
      </c>
      <c r="T78" t="s">
        <v>498</v>
      </c>
      <c r="BI78" s="24" t="str">
        <f>HYPERLINK("#일위대가목록!A44","SWRJ0120 →")</f>
        <v>SWRJ0120 →</v>
      </c>
    </row>
    <row r="79" spans="1:61" ht="18.399999999999999" customHeight="1">
      <c r="A79" s="28" t="s">
        <v>744</v>
      </c>
      <c r="B79" s="28" t="s">
        <v>535</v>
      </c>
      <c r="C79" s="2">
        <v>4</v>
      </c>
      <c r="D79" s="2" t="s">
        <v>502</v>
      </c>
      <c r="E79" s="22">
        <f t="shared" si="6"/>
        <v>0</v>
      </c>
      <c r="F79" s="22">
        <f t="shared" si="4"/>
        <v>0</v>
      </c>
      <c r="G79" s="22"/>
      <c r="H79" s="22">
        <f t="shared" si="7"/>
        <v>0</v>
      </c>
      <c r="I79" s="22"/>
      <c r="J79" s="22">
        <f t="shared" si="8"/>
        <v>0</v>
      </c>
      <c r="K79" s="22"/>
      <c r="L79" s="22">
        <f t="shared" si="9"/>
        <v>0</v>
      </c>
      <c r="M79" s="28" t="s">
        <v>254</v>
      </c>
      <c r="N79" t="s">
        <v>785</v>
      </c>
      <c r="P79" t="s">
        <v>649</v>
      </c>
      <c r="Q79" t="s">
        <v>785</v>
      </c>
      <c r="R79" t="s">
        <v>16</v>
      </c>
      <c r="T79" t="s">
        <v>498</v>
      </c>
      <c r="BI79" s="24" t="str">
        <f>HYPERLINK("#일위대가목록!A45","SWRJ0130 →")</f>
        <v>SWRJ0130 →</v>
      </c>
    </row>
    <row r="80" spans="1:61" ht="18.399999999999999" customHeight="1">
      <c r="A80" s="28" t="s">
        <v>309</v>
      </c>
      <c r="B80" s="28" t="s">
        <v>33</v>
      </c>
      <c r="C80" s="2">
        <v>1</v>
      </c>
      <c r="D80" s="2" t="s">
        <v>502</v>
      </c>
      <c r="E80" s="22">
        <f t="shared" si="6"/>
        <v>0</v>
      </c>
      <c r="F80" s="22">
        <f t="shared" si="4"/>
        <v>0</v>
      </c>
      <c r="G80" s="22"/>
      <c r="H80" s="22">
        <f t="shared" si="7"/>
        <v>0</v>
      </c>
      <c r="I80" s="22"/>
      <c r="J80" s="22">
        <f t="shared" si="8"/>
        <v>0</v>
      </c>
      <c r="K80" s="22"/>
      <c r="L80" s="22">
        <f t="shared" si="9"/>
        <v>0</v>
      </c>
      <c r="M80" s="28" t="s">
        <v>741</v>
      </c>
      <c r="N80" t="s">
        <v>785</v>
      </c>
      <c r="P80" t="s">
        <v>46</v>
      </c>
      <c r="Q80" t="s">
        <v>785</v>
      </c>
      <c r="R80" t="s">
        <v>585</v>
      </c>
      <c r="T80" t="s">
        <v>498</v>
      </c>
      <c r="BI80" s="24" t="str">
        <f>HYPERLINK("#일위대가목록!A46","SWRJ0140 →")</f>
        <v>SWRJ0140 →</v>
      </c>
    </row>
    <row r="81" spans="1:61" ht="18.399999999999999" customHeight="1">
      <c r="A81" s="28" t="s">
        <v>428</v>
      </c>
      <c r="B81" s="28" t="s">
        <v>244</v>
      </c>
      <c r="C81" s="2">
        <v>6</v>
      </c>
      <c r="D81" s="2" t="s">
        <v>502</v>
      </c>
      <c r="E81" s="22">
        <f t="shared" si="6"/>
        <v>0</v>
      </c>
      <c r="F81" s="22">
        <f t="shared" si="4"/>
        <v>0</v>
      </c>
      <c r="G81" s="22"/>
      <c r="H81" s="22">
        <f t="shared" si="7"/>
        <v>0</v>
      </c>
      <c r="I81" s="22"/>
      <c r="J81" s="22">
        <f t="shared" si="8"/>
        <v>0</v>
      </c>
      <c r="K81" s="22"/>
      <c r="L81" s="22">
        <f t="shared" si="9"/>
        <v>0</v>
      </c>
      <c r="M81" s="28" t="s">
        <v>326</v>
      </c>
      <c r="N81" t="s">
        <v>785</v>
      </c>
      <c r="P81" t="s">
        <v>246</v>
      </c>
      <c r="Q81" t="s">
        <v>785</v>
      </c>
      <c r="R81" t="s">
        <v>408</v>
      </c>
      <c r="T81" t="s">
        <v>498</v>
      </c>
      <c r="BI81" s="24" t="str">
        <f>HYPERLINK("#일위대가목록!A47","SWRJ0150 →")</f>
        <v>SWRJ0150 →</v>
      </c>
    </row>
    <row r="82" spans="1:61" ht="18.399999999999999" customHeight="1">
      <c r="A82" s="28" t="s">
        <v>132</v>
      </c>
      <c r="B82" s="28" t="s">
        <v>244</v>
      </c>
      <c r="C82" s="2">
        <v>8</v>
      </c>
      <c r="D82" s="2" t="s">
        <v>502</v>
      </c>
      <c r="E82" s="22">
        <f t="shared" si="6"/>
        <v>0</v>
      </c>
      <c r="F82" s="22">
        <f t="shared" si="4"/>
        <v>0</v>
      </c>
      <c r="G82" s="22"/>
      <c r="H82" s="22">
        <f t="shared" si="7"/>
        <v>0</v>
      </c>
      <c r="I82" s="22"/>
      <c r="J82" s="22">
        <f t="shared" si="8"/>
        <v>0</v>
      </c>
      <c r="K82" s="22"/>
      <c r="L82" s="22">
        <f t="shared" si="9"/>
        <v>0</v>
      </c>
      <c r="M82" s="28" t="s">
        <v>670</v>
      </c>
      <c r="N82" t="s">
        <v>785</v>
      </c>
      <c r="P82" t="s">
        <v>463</v>
      </c>
      <c r="Q82" t="s">
        <v>785</v>
      </c>
      <c r="R82" t="s">
        <v>201</v>
      </c>
      <c r="T82" t="s">
        <v>498</v>
      </c>
      <c r="BI82" s="24" t="str">
        <f>HYPERLINK("#일위대가목록!A48","SWRJ0160 →")</f>
        <v>SWRJ0160 →</v>
      </c>
    </row>
    <row r="83" spans="1:61" ht="18.399999999999999" customHeight="1">
      <c r="A83" s="28" t="s">
        <v>305</v>
      </c>
      <c r="B83" s="28" t="s">
        <v>785</v>
      </c>
      <c r="C83" s="2">
        <v>1</v>
      </c>
      <c r="D83" s="2" t="s">
        <v>502</v>
      </c>
      <c r="E83" s="22">
        <f t="shared" si="6"/>
        <v>0</v>
      </c>
      <c r="F83" s="22">
        <f t="shared" si="4"/>
        <v>0</v>
      </c>
      <c r="G83" s="22"/>
      <c r="H83" s="22">
        <f t="shared" si="7"/>
        <v>0</v>
      </c>
      <c r="I83" s="22"/>
      <c r="J83" s="22">
        <f t="shared" si="8"/>
        <v>0</v>
      </c>
      <c r="K83" s="22"/>
      <c r="L83" s="22">
        <f t="shared" si="9"/>
        <v>0</v>
      </c>
      <c r="M83" s="28" t="s">
        <v>233</v>
      </c>
      <c r="N83" t="s">
        <v>785</v>
      </c>
      <c r="P83" t="s">
        <v>633</v>
      </c>
      <c r="Q83" t="s">
        <v>785</v>
      </c>
      <c r="R83" t="s">
        <v>1</v>
      </c>
      <c r="T83" t="s">
        <v>498</v>
      </c>
      <c r="BI83" s="24" t="str">
        <f>HYPERLINK("#일위대가목록!A49","SWRJ0170 →")</f>
        <v>SWRJ0170 →</v>
      </c>
    </row>
    <row r="84" spans="1:61" ht="18.399999999999999" customHeight="1">
      <c r="A84" s="28" t="s">
        <v>215</v>
      </c>
      <c r="B84" s="28" t="s">
        <v>785</v>
      </c>
      <c r="C84" s="2">
        <v>1</v>
      </c>
      <c r="D84" s="2" t="s">
        <v>502</v>
      </c>
      <c r="E84" s="22">
        <f t="shared" si="6"/>
        <v>0</v>
      </c>
      <c r="F84" s="22">
        <f t="shared" si="4"/>
        <v>0</v>
      </c>
      <c r="G84" s="22"/>
      <c r="H84" s="22">
        <f t="shared" si="7"/>
        <v>0</v>
      </c>
      <c r="I84" s="22"/>
      <c r="J84" s="22">
        <f t="shared" si="8"/>
        <v>0</v>
      </c>
      <c r="K84" s="22"/>
      <c r="L84" s="22">
        <f t="shared" si="9"/>
        <v>0</v>
      </c>
      <c r="M84" s="28" t="s">
        <v>668</v>
      </c>
      <c r="N84" t="s">
        <v>785</v>
      </c>
      <c r="P84" t="s">
        <v>100</v>
      </c>
      <c r="Q84" t="s">
        <v>785</v>
      </c>
      <c r="R84" t="s">
        <v>623</v>
      </c>
      <c r="T84" t="s">
        <v>498</v>
      </c>
      <c r="BI84" s="24" t="str">
        <f>HYPERLINK("#일위대가목록!A50","SWRJ0180 →")</f>
        <v>SWRJ0180 →</v>
      </c>
    </row>
    <row r="85" spans="1:61" ht="18.399999999999999" customHeight="1">
      <c r="A85" s="28" t="s">
        <v>386</v>
      </c>
      <c r="B85" s="28" t="s">
        <v>785</v>
      </c>
      <c r="C85" s="2">
        <v>1</v>
      </c>
      <c r="D85" s="2" t="s">
        <v>502</v>
      </c>
      <c r="E85" s="22">
        <f t="shared" si="6"/>
        <v>0</v>
      </c>
      <c r="F85" s="22">
        <f t="shared" ref="F85:F116" si="10">H85+J85+L85</f>
        <v>0</v>
      </c>
      <c r="G85" s="22"/>
      <c r="H85" s="22">
        <f t="shared" si="7"/>
        <v>0</v>
      </c>
      <c r="I85" s="22"/>
      <c r="J85" s="22">
        <f t="shared" si="8"/>
        <v>0</v>
      </c>
      <c r="K85" s="22"/>
      <c r="L85" s="22">
        <f t="shared" si="9"/>
        <v>0</v>
      </c>
      <c r="M85" s="28" t="s">
        <v>240</v>
      </c>
      <c r="N85" t="s">
        <v>785</v>
      </c>
      <c r="P85" t="s">
        <v>293</v>
      </c>
      <c r="Q85" t="s">
        <v>785</v>
      </c>
      <c r="R85" t="s">
        <v>451</v>
      </c>
      <c r="T85" t="s">
        <v>498</v>
      </c>
      <c r="BI85" s="24" t="str">
        <f>HYPERLINK("#일위대가목록!A51","SWRJ0190 →")</f>
        <v>SWRJ0190 →</v>
      </c>
    </row>
    <row r="86" spans="1:61" ht="18.399999999999999" customHeight="1">
      <c r="A86" s="28" t="s">
        <v>458</v>
      </c>
      <c r="B86" s="28" t="s">
        <v>785</v>
      </c>
      <c r="C86" s="2">
        <v>1</v>
      </c>
      <c r="D86" s="2" t="s">
        <v>619</v>
      </c>
      <c r="E86" s="22">
        <f t="shared" si="6"/>
        <v>0</v>
      </c>
      <c r="F86" s="22">
        <f t="shared" si="10"/>
        <v>0</v>
      </c>
      <c r="G86" s="22"/>
      <c r="H86" s="22">
        <f t="shared" si="7"/>
        <v>0</v>
      </c>
      <c r="I86" s="22"/>
      <c r="J86" s="22">
        <f t="shared" si="8"/>
        <v>0</v>
      </c>
      <c r="K86" s="22"/>
      <c r="L86" s="22">
        <f t="shared" si="9"/>
        <v>0</v>
      </c>
      <c r="M86" s="28" t="s">
        <v>141</v>
      </c>
      <c r="N86" t="s">
        <v>785</v>
      </c>
      <c r="P86" t="s">
        <v>236</v>
      </c>
      <c r="Q86" t="s">
        <v>785</v>
      </c>
      <c r="R86" t="s">
        <v>495</v>
      </c>
      <c r="T86" t="s">
        <v>498</v>
      </c>
      <c r="BI86" s="24" t="str">
        <f>HYPERLINK("#일위대가목록!A52","SWRJ0200 →")</f>
        <v>SWRJ0200 →</v>
      </c>
    </row>
    <row r="87" spans="1:61" ht="18.399999999999999" customHeight="1">
      <c r="A87" s="28" t="s">
        <v>164</v>
      </c>
      <c r="B87" s="28" t="s">
        <v>785</v>
      </c>
      <c r="C87" s="2">
        <v>336</v>
      </c>
      <c r="D87" s="2" t="s">
        <v>472</v>
      </c>
      <c r="E87" s="22">
        <f t="shared" si="6"/>
        <v>0</v>
      </c>
      <c r="F87" s="22">
        <f t="shared" si="10"/>
        <v>0</v>
      </c>
      <c r="G87" s="22"/>
      <c r="H87" s="22">
        <f t="shared" si="7"/>
        <v>0</v>
      </c>
      <c r="I87" s="22"/>
      <c r="J87" s="22">
        <f t="shared" si="8"/>
        <v>0</v>
      </c>
      <c r="K87" s="22"/>
      <c r="L87" s="22">
        <f t="shared" si="9"/>
        <v>0</v>
      </c>
      <c r="M87" s="28" t="s">
        <v>559</v>
      </c>
      <c r="N87" t="s">
        <v>785</v>
      </c>
      <c r="P87" t="s">
        <v>40</v>
      </c>
      <c r="Q87" t="s">
        <v>785</v>
      </c>
      <c r="R87" t="s">
        <v>682</v>
      </c>
      <c r="T87" t="s">
        <v>498</v>
      </c>
      <c r="BI87" s="24" t="str">
        <f>HYPERLINK("#일위대가목록!A53","SWRJ0210 →")</f>
        <v>SWRJ0210 →</v>
      </c>
    </row>
    <row r="88" spans="1:61" ht="18.399999999999999" customHeight="1">
      <c r="A88" s="28" t="s">
        <v>470</v>
      </c>
      <c r="B88" s="28" t="s">
        <v>511</v>
      </c>
      <c r="C88" s="2">
        <v>16</v>
      </c>
      <c r="D88" s="2" t="s">
        <v>472</v>
      </c>
      <c r="E88" s="22">
        <f t="shared" si="6"/>
        <v>0</v>
      </c>
      <c r="F88" s="22">
        <f t="shared" si="10"/>
        <v>0</v>
      </c>
      <c r="G88" s="22"/>
      <c r="H88" s="22">
        <f t="shared" si="7"/>
        <v>0</v>
      </c>
      <c r="I88" s="22"/>
      <c r="J88" s="22">
        <f t="shared" si="8"/>
        <v>0</v>
      </c>
      <c r="K88" s="22"/>
      <c r="L88" s="22">
        <f t="shared" si="9"/>
        <v>0</v>
      </c>
      <c r="M88" s="28" t="s">
        <v>11</v>
      </c>
      <c r="N88" t="s">
        <v>785</v>
      </c>
      <c r="P88" t="s">
        <v>620</v>
      </c>
      <c r="Q88" t="s">
        <v>785</v>
      </c>
      <c r="R88" t="s">
        <v>96</v>
      </c>
      <c r="T88" t="s">
        <v>498</v>
      </c>
      <c r="BI88" s="24" t="str">
        <f>HYPERLINK("#일위대가목록!A54","SWRJ0220 →")</f>
        <v>SWRJ0220 →</v>
      </c>
    </row>
    <row r="89" spans="1:61" ht="18.399999999999999" customHeight="1">
      <c r="A89" s="28" t="s">
        <v>782</v>
      </c>
      <c r="B89" s="28" t="s">
        <v>343</v>
      </c>
      <c r="C89" s="2">
        <v>4</v>
      </c>
      <c r="D89" s="2" t="s">
        <v>472</v>
      </c>
      <c r="E89" s="22">
        <f t="shared" si="6"/>
        <v>0</v>
      </c>
      <c r="F89" s="22">
        <f t="shared" si="10"/>
        <v>0</v>
      </c>
      <c r="G89" s="22"/>
      <c r="H89" s="22">
        <f t="shared" si="7"/>
        <v>0</v>
      </c>
      <c r="I89" s="22"/>
      <c r="J89" s="22">
        <f t="shared" si="8"/>
        <v>0</v>
      </c>
      <c r="K89" s="22"/>
      <c r="L89" s="22">
        <f t="shared" si="9"/>
        <v>0</v>
      </c>
      <c r="M89" s="28" t="s">
        <v>465</v>
      </c>
      <c r="N89" t="s">
        <v>785</v>
      </c>
      <c r="P89" t="s">
        <v>452</v>
      </c>
      <c r="Q89" t="s">
        <v>785</v>
      </c>
      <c r="R89" t="s">
        <v>301</v>
      </c>
      <c r="T89" t="s">
        <v>498</v>
      </c>
      <c r="BI89" s="24" t="str">
        <f>HYPERLINK("#일위대가목록!A55","SWRJ0230 →")</f>
        <v>SWRJ0230 →</v>
      </c>
    </row>
    <row r="90" spans="1:61" ht="18.399999999999999" customHeight="1">
      <c r="A90" s="28" t="s">
        <v>706</v>
      </c>
      <c r="B90" s="28" t="s">
        <v>221</v>
      </c>
      <c r="C90" s="2">
        <v>22</v>
      </c>
      <c r="D90" s="2" t="s">
        <v>472</v>
      </c>
      <c r="E90" s="22">
        <f t="shared" si="6"/>
        <v>0</v>
      </c>
      <c r="F90" s="22">
        <f t="shared" si="10"/>
        <v>0</v>
      </c>
      <c r="G90" s="22"/>
      <c r="H90" s="22">
        <f t="shared" si="7"/>
        <v>0</v>
      </c>
      <c r="I90" s="22"/>
      <c r="J90" s="22">
        <f t="shared" si="8"/>
        <v>0</v>
      </c>
      <c r="K90" s="22"/>
      <c r="L90" s="22">
        <f t="shared" si="9"/>
        <v>0</v>
      </c>
      <c r="M90" s="28" t="s">
        <v>170</v>
      </c>
      <c r="N90" t="s">
        <v>785</v>
      </c>
      <c r="P90" t="s">
        <v>227</v>
      </c>
      <c r="Q90" t="s">
        <v>785</v>
      </c>
      <c r="R90" t="s">
        <v>485</v>
      </c>
      <c r="T90" t="s">
        <v>498</v>
      </c>
      <c r="BI90" s="24" t="str">
        <f>HYPERLINK("#일위대가목록!A56","SWRJ0240 →")</f>
        <v>SWRJ0240 →</v>
      </c>
    </row>
    <row r="91" spans="1:61" ht="18.399999999999999" customHeight="1">
      <c r="A91" s="28" t="s">
        <v>122</v>
      </c>
      <c r="B91" s="28" t="s">
        <v>271</v>
      </c>
      <c r="C91" s="2">
        <v>968</v>
      </c>
      <c r="D91" s="2" t="s">
        <v>574</v>
      </c>
      <c r="E91" s="22">
        <f t="shared" si="6"/>
        <v>0</v>
      </c>
      <c r="F91" s="22">
        <f t="shared" si="10"/>
        <v>0</v>
      </c>
      <c r="G91" s="22"/>
      <c r="H91" s="22">
        <f t="shared" si="7"/>
        <v>0</v>
      </c>
      <c r="I91" s="22"/>
      <c r="J91" s="22">
        <f t="shared" si="8"/>
        <v>0</v>
      </c>
      <c r="K91" s="22"/>
      <c r="L91" s="22">
        <f t="shared" si="9"/>
        <v>0</v>
      </c>
      <c r="M91" s="28" t="s">
        <v>501</v>
      </c>
      <c r="N91" t="s">
        <v>785</v>
      </c>
      <c r="P91" t="s">
        <v>27</v>
      </c>
      <c r="Q91" t="s">
        <v>785</v>
      </c>
      <c r="R91" t="s">
        <v>669</v>
      </c>
      <c r="T91" t="s">
        <v>498</v>
      </c>
      <c r="BI91" s="24" t="str">
        <f>HYPERLINK("#일위대가목록!A57","SWRJ0250 →")</f>
        <v>SWRJ0250 →</v>
      </c>
    </row>
    <row r="92" spans="1:61" ht="18.399999999999999" customHeight="1">
      <c r="A92" s="28" t="s">
        <v>648</v>
      </c>
      <c r="B92" s="28" t="s">
        <v>271</v>
      </c>
      <c r="C92" s="2">
        <v>61</v>
      </c>
      <c r="D92" s="2" t="s">
        <v>472</v>
      </c>
      <c r="E92" s="22">
        <f t="shared" si="6"/>
        <v>0</v>
      </c>
      <c r="F92" s="22">
        <f t="shared" si="10"/>
        <v>0</v>
      </c>
      <c r="G92" s="22"/>
      <c r="H92" s="22">
        <f t="shared" si="7"/>
        <v>0</v>
      </c>
      <c r="I92" s="22"/>
      <c r="J92" s="22">
        <f t="shared" si="8"/>
        <v>0</v>
      </c>
      <c r="K92" s="22"/>
      <c r="L92" s="22">
        <f t="shared" si="9"/>
        <v>0</v>
      </c>
      <c r="M92" s="28" t="s">
        <v>90</v>
      </c>
      <c r="N92" t="s">
        <v>785</v>
      </c>
      <c r="P92" t="s">
        <v>605</v>
      </c>
      <c r="Q92" t="s">
        <v>785</v>
      </c>
      <c r="R92" t="s">
        <v>81</v>
      </c>
      <c r="T92" t="s">
        <v>498</v>
      </c>
      <c r="BI92" s="24" t="str">
        <f>HYPERLINK("#일위대가목록!A58","SWRJ0260 →")</f>
        <v>SWRJ0260 →</v>
      </c>
    </row>
    <row r="93" spans="1:61" ht="18.399999999999999" customHeight="1">
      <c r="A93" s="28" t="s">
        <v>446</v>
      </c>
      <c r="B93" s="28" t="s">
        <v>724</v>
      </c>
      <c r="C93" s="2">
        <v>4</v>
      </c>
      <c r="D93" s="2" t="s">
        <v>156</v>
      </c>
      <c r="E93" s="22">
        <f t="shared" si="6"/>
        <v>0</v>
      </c>
      <c r="F93" s="22">
        <f t="shared" si="10"/>
        <v>0</v>
      </c>
      <c r="G93" s="22"/>
      <c r="H93" s="22">
        <f t="shared" si="7"/>
        <v>0</v>
      </c>
      <c r="I93" s="22"/>
      <c r="J93" s="22">
        <f t="shared" si="8"/>
        <v>0</v>
      </c>
      <c r="K93" s="22"/>
      <c r="L93" s="22">
        <f t="shared" si="9"/>
        <v>0</v>
      </c>
      <c r="M93" s="28" t="s">
        <v>444</v>
      </c>
      <c r="N93" t="s">
        <v>785</v>
      </c>
      <c r="P93" t="s">
        <v>438</v>
      </c>
      <c r="Q93" t="s">
        <v>785</v>
      </c>
      <c r="R93" t="s">
        <v>283</v>
      </c>
      <c r="T93" t="s">
        <v>498</v>
      </c>
      <c r="BI93" s="24" t="str">
        <f>HYPERLINK("#일위대가목록!A59","SWRJ0270 →")</f>
        <v>SWRJ0270 →</v>
      </c>
    </row>
    <row r="94" spans="1:61" ht="18.399999999999999" customHeight="1">
      <c r="A94" s="28" t="s">
        <v>328</v>
      </c>
      <c r="B94" s="28" t="s">
        <v>785</v>
      </c>
      <c r="C94" s="2"/>
      <c r="D94" s="2" t="s">
        <v>785</v>
      </c>
      <c r="E94" s="22">
        <f t="shared" si="6"/>
        <v>0</v>
      </c>
      <c r="F94" s="22">
        <f t="shared" si="10"/>
        <v>0</v>
      </c>
      <c r="G94" s="1"/>
      <c r="H94" s="22">
        <v>0</v>
      </c>
      <c r="I94" s="1"/>
      <c r="J94" s="22">
        <v>0</v>
      </c>
      <c r="K94" s="1"/>
      <c r="L94" s="22">
        <v>0</v>
      </c>
      <c r="M94" s="28" t="s">
        <v>785</v>
      </c>
      <c r="N94" t="s">
        <v>785</v>
      </c>
      <c r="P94" t="s">
        <v>216</v>
      </c>
      <c r="Q94" t="s">
        <v>507</v>
      </c>
      <c r="R94" t="s">
        <v>785</v>
      </c>
    </row>
    <row r="95" spans="1:61" ht="18.399999999999999" customHeight="1">
      <c r="A95" s="28" t="s">
        <v>328</v>
      </c>
      <c r="B95" s="28" t="s">
        <v>785</v>
      </c>
      <c r="C95" s="2"/>
      <c r="D95" s="2" t="s">
        <v>785</v>
      </c>
      <c r="E95" s="22">
        <f t="shared" si="6"/>
        <v>0</v>
      </c>
      <c r="F95" s="22">
        <f t="shared" si="10"/>
        <v>0</v>
      </c>
      <c r="G95" s="1"/>
      <c r="H95" s="22">
        <v>0</v>
      </c>
      <c r="I95" s="1"/>
      <c r="J95" s="22">
        <v>0</v>
      </c>
      <c r="K95" s="1"/>
      <c r="L95" s="22">
        <v>0</v>
      </c>
      <c r="M95" s="28" t="s">
        <v>785</v>
      </c>
      <c r="N95" t="s">
        <v>785</v>
      </c>
      <c r="P95" t="s">
        <v>17</v>
      </c>
      <c r="Q95" t="s">
        <v>187</v>
      </c>
      <c r="R95" t="s">
        <v>785</v>
      </c>
    </row>
    <row r="96" spans="1:61" ht="18.399999999999999" customHeight="1">
      <c r="A96" s="28" t="s">
        <v>118</v>
      </c>
      <c r="B96" s="28" t="s">
        <v>785</v>
      </c>
      <c r="C96" s="2">
        <v>1</v>
      </c>
      <c r="D96" s="2" t="s">
        <v>619</v>
      </c>
      <c r="E96" s="1"/>
      <c r="F96" s="22">
        <f t="shared" si="10"/>
        <v>0</v>
      </c>
      <c r="G96" s="1"/>
      <c r="H96" s="22">
        <f>TRUNC(H97+H98+H99+H100+H101+H102,0)</f>
        <v>0</v>
      </c>
      <c r="I96" s="1"/>
      <c r="J96" s="22">
        <f>TRUNC(J97+J98+J99+J100+J101+J102,0)</f>
        <v>0</v>
      </c>
      <c r="K96" s="1"/>
      <c r="L96" s="22">
        <f>TRUNC(L97+L98+L99+L100+L101+L102,0)</f>
        <v>0</v>
      </c>
      <c r="M96" s="28" t="s">
        <v>785</v>
      </c>
      <c r="N96" t="s">
        <v>785</v>
      </c>
      <c r="O96" t="s">
        <v>780</v>
      </c>
    </row>
    <row r="97" spans="1:61" ht="18.399999999999999" customHeight="1">
      <c r="A97" s="28" t="s">
        <v>509</v>
      </c>
      <c r="B97" s="28" t="s">
        <v>721</v>
      </c>
      <c r="C97" s="2">
        <v>11</v>
      </c>
      <c r="D97" s="2" t="s">
        <v>502</v>
      </c>
      <c r="E97" s="22">
        <f t="shared" ref="E97:E104" si="11">G97+I97+K97</f>
        <v>0</v>
      </c>
      <c r="F97" s="22">
        <f t="shared" si="10"/>
        <v>0</v>
      </c>
      <c r="G97" s="22"/>
      <c r="H97" s="22">
        <f t="shared" ref="H97:H102" si="12">TRUNC(G97*C97,0)</f>
        <v>0</v>
      </c>
      <c r="I97" s="22"/>
      <c r="J97" s="22">
        <f t="shared" ref="J97:J102" si="13">TRUNC(I97*C97,0)</f>
        <v>0</v>
      </c>
      <c r="K97" s="22"/>
      <c r="L97" s="22">
        <f t="shared" ref="L97:L102" si="14">TRUNC(K97*C97,0)</f>
        <v>0</v>
      </c>
      <c r="M97" s="28" t="s">
        <v>94</v>
      </c>
      <c r="N97" t="s">
        <v>785</v>
      </c>
      <c r="P97" t="s">
        <v>102</v>
      </c>
      <c r="Q97" t="s">
        <v>785</v>
      </c>
      <c r="R97" t="s">
        <v>308</v>
      </c>
      <c r="T97" t="s">
        <v>498</v>
      </c>
      <c r="BI97" s="24" t="str">
        <f>HYPERLINK("#일위대가목록!A60","SWRJ3010 →")</f>
        <v>SWRJ3010 →</v>
      </c>
    </row>
    <row r="98" spans="1:61" ht="18.399999999999999" customHeight="1">
      <c r="A98" s="28" t="s">
        <v>323</v>
      </c>
      <c r="B98" s="28" t="s">
        <v>214</v>
      </c>
      <c r="C98" s="2">
        <v>2</v>
      </c>
      <c r="D98" s="2" t="s">
        <v>502</v>
      </c>
      <c r="E98" s="22">
        <f t="shared" si="11"/>
        <v>0</v>
      </c>
      <c r="F98" s="22">
        <f t="shared" si="10"/>
        <v>0</v>
      </c>
      <c r="G98" s="22"/>
      <c r="H98" s="22">
        <f t="shared" si="12"/>
        <v>0</v>
      </c>
      <c r="I98" s="22"/>
      <c r="J98" s="22">
        <f t="shared" si="13"/>
        <v>0</v>
      </c>
      <c r="K98" s="22"/>
      <c r="L98" s="22">
        <f t="shared" si="14"/>
        <v>0</v>
      </c>
      <c r="M98" s="28" t="s">
        <v>427</v>
      </c>
      <c r="N98" t="s">
        <v>785</v>
      </c>
      <c r="P98" t="s">
        <v>675</v>
      </c>
      <c r="Q98" t="s">
        <v>785</v>
      </c>
      <c r="R98" t="s">
        <v>489</v>
      </c>
      <c r="T98" t="s">
        <v>498</v>
      </c>
      <c r="BI98" s="24" t="str">
        <f>HYPERLINK("#일위대가목록!A61","SWRJ3020 →")</f>
        <v>SWRJ3020 →</v>
      </c>
    </row>
    <row r="99" spans="1:61" ht="18.399999999999999" customHeight="1">
      <c r="A99" s="28" t="s">
        <v>157</v>
      </c>
      <c r="B99" s="28" t="s">
        <v>437</v>
      </c>
      <c r="C99" s="2">
        <v>38</v>
      </c>
      <c r="D99" s="2" t="s">
        <v>472</v>
      </c>
      <c r="E99" s="22">
        <f t="shared" si="11"/>
        <v>0</v>
      </c>
      <c r="F99" s="22">
        <f t="shared" si="10"/>
        <v>0</v>
      </c>
      <c r="G99" s="22"/>
      <c r="H99" s="22">
        <f t="shared" si="12"/>
        <v>0</v>
      </c>
      <c r="I99" s="22"/>
      <c r="J99" s="22">
        <f t="shared" si="13"/>
        <v>0</v>
      </c>
      <c r="K99" s="22"/>
      <c r="L99" s="22">
        <f t="shared" si="14"/>
        <v>0</v>
      </c>
      <c r="M99" s="28" t="s">
        <v>344</v>
      </c>
      <c r="N99" t="s">
        <v>785</v>
      </c>
      <c r="P99" t="s">
        <v>490</v>
      </c>
      <c r="Q99" t="s">
        <v>785</v>
      </c>
      <c r="R99" t="s">
        <v>673</v>
      </c>
      <c r="T99" t="s">
        <v>498</v>
      </c>
      <c r="BI99" s="24" t="str">
        <f>HYPERLINK("#일위대가목록!A62","SWRJ3030 →")</f>
        <v>SWRJ3030 →</v>
      </c>
    </row>
    <row r="100" spans="1:61" ht="18.399999999999999" customHeight="1">
      <c r="A100" s="28" t="s">
        <v>725</v>
      </c>
      <c r="B100" s="28" t="s">
        <v>340</v>
      </c>
      <c r="C100" s="2">
        <v>152</v>
      </c>
      <c r="D100" s="2" t="s">
        <v>472</v>
      </c>
      <c r="E100" s="22">
        <f t="shared" si="11"/>
        <v>0</v>
      </c>
      <c r="F100" s="22">
        <f t="shared" si="10"/>
        <v>0</v>
      </c>
      <c r="G100" s="22"/>
      <c r="H100" s="22">
        <f t="shared" si="12"/>
        <v>0</v>
      </c>
      <c r="I100" s="22"/>
      <c r="J100" s="22">
        <f t="shared" si="13"/>
        <v>0</v>
      </c>
      <c r="K100" s="22"/>
      <c r="L100" s="22">
        <f t="shared" si="14"/>
        <v>0</v>
      </c>
      <c r="M100" s="28" t="s">
        <v>765</v>
      </c>
      <c r="N100" t="s">
        <v>785</v>
      </c>
      <c r="P100" t="s">
        <v>291</v>
      </c>
      <c r="Q100" t="s">
        <v>785</v>
      </c>
      <c r="R100" t="s">
        <v>86</v>
      </c>
      <c r="T100" t="s">
        <v>498</v>
      </c>
      <c r="BI100" s="24" t="str">
        <f>HYPERLINK("#일위대가목록!A63","SWRJ3040 →")</f>
        <v>SWRJ3040 →</v>
      </c>
    </row>
    <row r="101" spans="1:61" ht="18.399999999999999" customHeight="1">
      <c r="A101" s="28" t="s">
        <v>694</v>
      </c>
      <c r="B101" s="28" t="s">
        <v>127</v>
      </c>
      <c r="C101" s="2">
        <v>25</v>
      </c>
      <c r="D101" s="2" t="s">
        <v>472</v>
      </c>
      <c r="E101" s="22">
        <f t="shared" si="11"/>
        <v>0</v>
      </c>
      <c r="F101" s="22">
        <f t="shared" si="10"/>
        <v>0</v>
      </c>
      <c r="G101" s="22"/>
      <c r="H101" s="22">
        <f t="shared" si="12"/>
        <v>0</v>
      </c>
      <c r="I101" s="22"/>
      <c r="J101" s="22">
        <f t="shared" si="13"/>
        <v>0</v>
      </c>
      <c r="K101" s="22"/>
      <c r="L101" s="22">
        <f t="shared" si="14"/>
        <v>0</v>
      </c>
      <c r="M101" s="28" t="s">
        <v>211</v>
      </c>
      <c r="N101" t="s">
        <v>785</v>
      </c>
      <c r="P101" t="s">
        <v>87</v>
      </c>
      <c r="Q101" t="s">
        <v>785</v>
      </c>
      <c r="R101" t="s">
        <v>290</v>
      </c>
      <c r="T101" t="s">
        <v>498</v>
      </c>
      <c r="BI101" s="24" t="str">
        <f>HYPERLINK("#일위대가목록!A64","SWRJ3050 →")</f>
        <v>SWRJ3050 →</v>
      </c>
    </row>
    <row r="102" spans="1:61" ht="18.399999999999999" customHeight="1">
      <c r="A102" s="28" t="s">
        <v>391</v>
      </c>
      <c r="B102" s="28" t="s">
        <v>162</v>
      </c>
      <c r="C102" s="2">
        <v>50</v>
      </c>
      <c r="D102" s="2" t="s">
        <v>472</v>
      </c>
      <c r="E102" s="22">
        <f t="shared" si="11"/>
        <v>0</v>
      </c>
      <c r="F102" s="22">
        <f t="shared" si="10"/>
        <v>0</v>
      </c>
      <c r="G102" s="22"/>
      <c r="H102" s="22">
        <f t="shared" si="12"/>
        <v>0</v>
      </c>
      <c r="I102" s="22"/>
      <c r="J102" s="22">
        <f t="shared" si="13"/>
        <v>0</v>
      </c>
      <c r="K102" s="22"/>
      <c r="L102" s="22">
        <f t="shared" si="14"/>
        <v>0</v>
      </c>
      <c r="M102" s="28" t="s">
        <v>647</v>
      </c>
      <c r="N102" t="s">
        <v>785</v>
      </c>
      <c r="P102" t="s">
        <v>662</v>
      </c>
      <c r="Q102" t="s">
        <v>785</v>
      </c>
      <c r="R102" t="s">
        <v>479</v>
      </c>
      <c r="T102" t="s">
        <v>498</v>
      </c>
      <c r="BI102" s="24" t="str">
        <f>HYPERLINK("#일위대가목록!A65","SWRJ3060 →")</f>
        <v>SWRJ3060 →</v>
      </c>
    </row>
    <row r="103" spans="1:61" ht="18.399999999999999" customHeight="1">
      <c r="A103" s="28" t="s">
        <v>328</v>
      </c>
      <c r="B103" s="28" t="s">
        <v>785</v>
      </c>
      <c r="C103" s="2"/>
      <c r="D103" s="2" t="s">
        <v>785</v>
      </c>
      <c r="E103" s="22">
        <f t="shared" si="11"/>
        <v>0</v>
      </c>
      <c r="F103" s="22">
        <f t="shared" si="10"/>
        <v>0</v>
      </c>
      <c r="G103" s="1"/>
      <c r="H103" s="22">
        <v>0</v>
      </c>
      <c r="I103" s="1"/>
      <c r="J103" s="22">
        <v>0</v>
      </c>
      <c r="K103" s="1"/>
      <c r="L103" s="22">
        <v>0</v>
      </c>
      <c r="M103" s="28" t="s">
        <v>785</v>
      </c>
      <c r="N103" t="s">
        <v>785</v>
      </c>
      <c r="P103" t="s">
        <v>477</v>
      </c>
      <c r="Q103" t="s">
        <v>507</v>
      </c>
      <c r="R103" t="s">
        <v>785</v>
      </c>
    </row>
    <row r="104" spans="1:61" ht="18.399999999999999" customHeight="1">
      <c r="A104" s="28" t="s">
        <v>328</v>
      </c>
      <c r="B104" s="28" t="s">
        <v>785</v>
      </c>
      <c r="C104" s="2"/>
      <c r="D104" s="2" t="s">
        <v>785</v>
      </c>
      <c r="E104" s="22">
        <f t="shared" si="11"/>
        <v>0</v>
      </c>
      <c r="F104" s="22">
        <f t="shared" si="10"/>
        <v>0</v>
      </c>
      <c r="G104" s="1"/>
      <c r="H104" s="22">
        <v>0</v>
      </c>
      <c r="I104" s="1"/>
      <c r="J104" s="22">
        <v>0</v>
      </c>
      <c r="K104" s="1"/>
      <c r="L104" s="22">
        <v>0</v>
      </c>
      <c r="M104" s="28" t="s">
        <v>785</v>
      </c>
      <c r="N104" t="s">
        <v>785</v>
      </c>
      <c r="P104" t="s">
        <v>266</v>
      </c>
      <c r="Q104" t="s">
        <v>187</v>
      </c>
      <c r="R104" t="s">
        <v>785</v>
      </c>
    </row>
    <row r="105" spans="1:61" ht="18.399999999999999" customHeight="1">
      <c r="A105" s="28" t="s">
        <v>23</v>
      </c>
      <c r="B105" s="28" t="s">
        <v>785</v>
      </c>
      <c r="C105" s="2">
        <v>1</v>
      </c>
      <c r="D105" s="2" t="s">
        <v>619</v>
      </c>
      <c r="E105" s="1"/>
      <c r="F105" s="22">
        <f t="shared" si="10"/>
        <v>0</v>
      </c>
      <c r="G105" s="1"/>
      <c r="H105" s="22">
        <f>TRUNC(H116+H119+H120+H121+H122,0)</f>
        <v>0</v>
      </c>
      <c r="I105" s="1"/>
      <c r="J105" s="22">
        <f>TRUNC(J116+J119+J120+J121+J122,0)</f>
        <v>0</v>
      </c>
      <c r="K105" s="1"/>
      <c r="L105" s="22">
        <f>TRUNC(L116+L119+L120+L121+L122,0)</f>
        <v>0</v>
      </c>
      <c r="M105" s="28" t="s">
        <v>785</v>
      </c>
      <c r="N105" t="s">
        <v>785</v>
      </c>
      <c r="O105" t="s">
        <v>604</v>
      </c>
    </row>
    <row r="106" spans="1:61" ht="18.399999999999999" customHeight="1">
      <c r="A106" s="28" t="s">
        <v>25</v>
      </c>
      <c r="B106" s="28" t="s">
        <v>341</v>
      </c>
      <c r="C106" s="2">
        <v>1</v>
      </c>
      <c r="D106" s="2" t="s">
        <v>502</v>
      </c>
      <c r="E106" s="22">
        <f t="shared" ref="E106:E131" si="15">G106+I106+K106</f>
        <v>0</v>
      </c>
      <c r="F106" s="22">
        <f t="shared" si="10"/>
        <v>0</v>
      </c>
      <c r="G106" s="22"/>
      <c r="H106" s="22">
        <f t="shared" ref="H106:H129" si="16">TRUNC(G106*C106,0)</f>
        <v>0</v>
      </c>
      <c r="I106" s="22"/>
      <c r="J106" s="22"/>
      <c r="K106" s="22"/>
      <c r="L106" s="22"/>
      <c r="M106" s="28" t="s">
        <v>545</v>
      </c>
      <c r="N106" t="s">
        <v>785</v>
      </c>
      <c r="P106" t="s">
        <v>102</v>
      </c>
      <c r="Q106" t="s">
        <v>507</v>
      </c>
      <c r="R106" t="s">
        <v>545</v>
      </c>
      <c r="W106" t="s">
        <v>454</v>
      </c>
      <c r="BI106" s="24" t="str">
        <f>HYPERLINK("#자재조서!A32","MZTAA0010 →")</f>
        <v>MZTAA0010 →</v>
      </c>
    </row>
    <row r="107" spans="1:61" ht="18.399999999999999" customHeight="1">
      <c r="A107" s="28" t="s">
        <v>783</v>
      </c>
      <c r="B107" s="28" t="s">
        <v>493</v>
      </c>
      <c r="C107" s="2">
        <v>1</v>
      </c>
      <c r="D107" s="2" t="s">
        <v>502</v>
      </c>
      <c r="E107" s="22">
        <f t="shared" si="15"/>
        <v>0</v>
      </c>
      <c r="F107" s="22">
        <f t="shared" si="10"/>
        <v>0</v>
      </c>
      <c r="G107" s="22"/>
      <c r="H107" s="22">
        <f t="shared" si="16"/>
        <v>0</v>
      </c>
      <c r="I107" s="22"/>
      <c r="J107" s="22"/>
      <c r="K107" s="22"/>
      <c r="L107" s="22"/>
      <c r="M107" s="28" t="s">
        <v>380</v>
      </c>
      <c r="N107" t="s">
        <v>785</v>
      </c>
      <c r="P107" t="s">
        <v>675</v>
      </c>
      <c r="Q107" t="s">
        <v>507</v>
      </c>
      <c r="R107" t="s">
        <v>380</v>
      </c>
      <c r="W107" t="s">
        <v>454</v>
      </c>
      <c r="BI107" s="24" t="str">
        <f>HYPERLINK("#자재조서!A33","MZTAA0020 →")</f>
        <v>MZTAA0020 →</v>
      </c>
    </row>
    <row r="108" spans="1:61" ht="18.399999999999999" customHeight="1">
      <c r="A108" s="28" t="s">
        <v>777</v>
      </c>
      <c r="B108" s="28" t="s">
        <v>163</v>
      </c>
      <c r="C108" s="2">
        <v>1</v>
      </c>
      <c r="D108" s="2" t="s">
        <v>502</v>
      </c>
      <c r="E108" s="22">
        <f t="shared" si="15"/>
        <v>0</v>
      </c>
      <c r="F108" s="22">
        <f t="shared" si="10"/>
        <v>0</v>
      </c>
      <c r="G108" s="22"/>
      <c r="H108" s="22">
        <f t="shared" si="16"/>
        <v>0</v>
      </c>
      <c r="I108" s="22"/>
      <c r="J108" s="22"/>
      <c r="K108" s="22"/>
      <c r="L108" s="22"/>
      <c r="M108" s="28" t="s">
        <v>168</v>
      </c>
      <c r="N108" t="s">
        <v>785</v>
      </c>
      <c r="P108" t="s">
        <v>490</v>
      </c>
      <c r="Q108" t="s">
        <v>507</v>
      </c>
      <c r="R108" t="s">
        <v>168</v>
      </c>
      <c r="W108" t="s">
        <v>454</v>
      </c>
      <c r="BI108" s="24" t="str">
        <f>HYPERLINK("#자재조서!A34","MZTAA0030 →")</f>
        <v>MZTAA0030 →</v>
      </c>
    </row>
    <row r="109" spans="1:61" ht="18.399999999999999" customHeight="1">
      <c r="A109" s="28" t="s">
        <v>267</v>
      </c>
      <c r="B109" s="28" t="s">
        <v>544</v>
      </c>
      <c r="C109" s="2">
        <v>2</v>
      </c>
      <c r="D109" s="2" t="s">
        <v>502</v>
      </c>
      <c r="E109" s="22">
        <f t="shared" si="15"/>
        <v>0</v>
      </c>
      <c r="F109" s="22">
        <f t="shared" si="10"/>
        <v>0</v>
      </c>
      <c r="G109" s="22"/>
      <c r="H109" s="22">
        <f t="shared" si="16"/>
        <v>0</v>
      </c>
      <c r="I109" s="22"/>
      <c r="J109" s="22"/>
      <c r="K109" s="22"/>
      <c r="L109" s="22"/>
      <c r="M109" s="28" t="s">
        <v>745</v>
      </c>
      <c r="N109" t="s">
        <v>785</v>
      </c>
      <c r="P109" t="s">
        <v>291</v>
      </c>
      <c r="Q109" t="s">
        <v>507</v>
      </c>
      <c r="R109" t="s">
        <v>745</v>
      </c>
      <c r="W109" t="s">
        <v>454</v>
      </c>
      <c r="BI109" s="24" t="str">
        <f>HYPERLINK("#자재조서!A35","MZTAA0040 →")</f>
        <v>MZTAA0040 →</v>
      </c>
    </row>
    <row r="110" spans="1:61" ht="18.399999999999999" customHeight="1">
      <c r="A110" s="28" t="s">
        <v>128</v>
      </c>
      <c r="B110" s="28" t="s">
        <v>663</v>
      </c>
      <c r="C110" s="2">
        <v>1</v>
      </c>
      <c r="D110" s="2" t="s">
        <v>502</v>
      </c>
      <c r="E110" s="22">
        <f t="shared" si="15"/>
        <v>0</v>
      </c>
      <c r="F110" s="22">
        <f t="shared" si="10"/>
        <v>0</v>
      </c>
      <c r="G110" s="22"/>
      <c r="H110" s="22">
        <f t="shared" si="16"/>
        <v>0</v>
      </c>
      <c r="I110" s="22"/>
      <c r="J110" s="22"/>
      <c r="K110" s="22"/>
      <c r="L110" s="22"/>
      <c r="M110" s="28" t="s">
        <v>537</v>
      </c>
      <c r="N110" t="s">
        <v>785</v>
      </c>
      <c r="P110" t="s">
        <v>87</v>
      </c>
      <c r="Q110" t="s">
        <v>507</v>
      </c>
      <c r="R110" t="s">
        <v>537</v>
      </c>
      <c r="W110" t="s">
        <v>454</v>
      </c>
      <c r="BI110" s="24" t="str">
        <f>HYPERLINK("#자재조서!A36","MZTAA0050 →")</f>
        <v>MZTAA0050 →</v>
      </c>
    </row>
    <row r="111" spans="1:61" ht="18.399999999999999" customHeight="1">
      <c r="A111" s="28" t="s">
        <v>720</v>
      </c>
      <c r="B111" s="28" t="s">
        <v>663</v>
      </c>
      <c r="C111" s="2">
        <v>1</v>
      </c>
      <c r="D111" s="2" t="s">
        <v>502</v>
      </c>
      <c r="E111" s="22">
        <f t="shared" si="15"/>
        <v>0</v>
      </c>
      <c r="F111" s="22">
        <f t="shared" si="10"/>
        <v>0</v>
      </c>
      <c r="G111" s="22"/>
      <c r="H111" s="22">
        <f t="shared" si="16"/>
        <v>0</v>
      </c>
      <c r="I111" s="22"/>
      <c r="J111" s="22"/>
      <c r="K111" s="22"/>
      <c r="L111" s="22"/>
      <c r="M111" s="28" t="s">
        <v>362</v>
      </c>
      <c r="N111" t="s">
        <v>785</v>
      </c>
      <c r="P111" t="s">
        <v>662</v>
      </c>
      <c r="Q111" t="s">
        <v>507</v>
      </c>
      <c r="R111" t="s">
        <v>362</v>
      </c>
      <c r="W111" t="s">
        <v>454</v>
      </c>
      <c r="BI111" s="24" t="str">
        <f>HYPERLINK("#자재조서!A37","MZTAA0060 →")</f>
        <v>MZTAA0060 →</v>
      </c>
    </row>
    <row r="112" spans="1:61" ht="18.399999999999999" customHeight="1">
      <c r="A112" s="28" t="s">
        <v>757</v>
      </c>
      <c r="B112" s="28" t="s">
        <v>182</v>
      </c>
      <c r="C112" s="2">
        <v>2</v>
      </c>
      <c r="D112" s="2" t="s">
        <v>502</v>
      </c>
      <c r="E112" s="22">
        <f t="shared" si="15"/>
        <v>0</v>
      </c>
      <c r="F112" s="22">
        <f t="shared" si="10"/>
        <v>0</v>
      </c>
      <c r="G112" s="22"/>
      <c r="H112" s="22">
        <f t="shared" si="16"/>
        <v>0</v>
      </c>
      <c r="I112" s="22"/>
      <c r="J112" s="22"/>
      <c r="K112" s="22"/>
      <c r="L112" s="22"/>
      <c r="M112" s="28" t="s">
        <v>154</v>
      </c>
      <c r="N112" t="s">
        <v>785</v>
      </c>
      <c r="P112" t="s">
        <v>477</v>
      </c>
      <c r="Q112" t="s">
        <v>507</v>
      </c>
      <c r="R112" t="s">
        <v>154</v>
      </c>
      <c r="W112" t="s">
        <v>454</v>
      </c>
      <c r="BI112" s="24" t="str">
        <f>HYPERLINK("#자재조서!A38","MZTAA0070 →")</f>
        <v>MZTAA0070 →</v>
      </c>
    </row>
    <row r="113" spans="1:61" ht="18.399999999999999" customHeight="1">
      <c r="A113" s="28" t="s">
        <v>99</v>
      </c>
      <c r="B113" s="28" t="s">
        <v>640</v>
      </c>
      <c r="C113" s="2">
        <v>1</v>
      </c>
      <c r="D113" s="2" t="s">
        <v>502</v>
      </c>
      <c r="E113" s="22">
        <f t="shared" si="15"/>
        <v>0</v>
      </c>
      <c r="F113" s="22">
        <f t="shared" si="10"/>
        <v>0</v>
      </c>
      <c r="G113" s="22"/>
      <c r="H113" s="22">
        <f t="shared" si="16"/>
        <v>0</v>
      </c>
      <c r="I113" s="22"/>
      <c r="J113" s="22"/>
      <c r="K113" s="22"/>
      <c r="L113" s="22"/>
      <c r="M113" s="28" t="s">
        <v>775</v>
      </c>
      <c r="N113" t="s">
        <v>785</v>
      </c>
      <c r="P113" t="s">
        <v>266</v>
      </c>
      <c r="Q113" t="s">
        <v>507</v>
      </c>
      <c r="R113" t="s">
        <v>775</v>
      </c>
      <c r="W113" t="s">
        <v>454</v>
      </c>
      <c r="BI113" s="24" t="str">
        <f>HYPERLINK("#자재조서!A39","MZTAA0080 →")</f>
        <v>MZTAA0080 →</v>
      </c>
    </row>
    <row r="114" spans="1:61" ht="18.399999999999999" customHeight="1">
      <c r="A114" s="28" t="s">
        <v>482</v>
      </c>
      <c r="B114" s="28" t="s">
        <v>311</v>
      </c>
      <c r="C114" s="2">
        <v>2</v>
      </c>
      <c r="D114" s="2" t="s">
        <v>502</v>
      </c>
      <c r="E114" s="22">
        <f t="shared" si="15"/>
        <v>0</v>
      </c>
      <c r="F114" s="22">
        <f t="shared" si="10"/>
        <v>0</v>
      </c>
      <c r="G114" s="22"/>
      <c r="H114" s="22">
        <f t="shared" si="16"/>
        <v>0</v>
      </c>
      <c r="I114" s="22"/>
      <c r="J114" s="22"/>
      <c r="K114" s="22"/>
      <c r="L114" s="22"/>
      <c r="M114" s="28" t="s">
        <v>357</v>
      </c>
      <c r="N114" t="s">
        <v>785</v>
      </c>
      <c r="P114" t="s">
        <v>659</v>
      </c>
      <c r="Q114" t="s">
        <v>507</v>
      </c>
      <c r="R114" t="s">
        <v>357</v>
      </c>
      <c r="W114" t="s">
        <v>454</v>
      </c>
      <c r="BI114" s="24" t="str">
        <f>HYPERLINK("#자재조서!A40","MZTAA0085 →")</f>
        <v>MZTAA0085 →</v>
      </c>
    </row>
    <row r="115" spans="1:61" ht="18.399999999999999" customHeight="1">
      <c r="A115" s="28" t="s">
        <v>20</v>
      </c>
      <c r="B115" s="28" t="s">
        <v>693</v>
      </c>
      <c r="C115" s="2">
        <v>11</v>
      </c>
      <c r="D115" s="2" t="s">
        <v>502</v>
      </c>
      <c r="E115" s="22">
        <f t="shared" si="15"/>
        <v>0</v>
      </c>
      <c r="F115" s="22">
        <f t="shared" si="10"/>
        <v>0</v>
      </c>
      <c r="G115" s="22"/>
      <c r="H115" s="22">
        <f t="shared" si="16"/>
        <v>0</v>
      </c>
      <c r="I115" s="22"/>
      <c r="J115" s="22"/>
      <c r="K115" s="22"/>
      <c r="L115" s="22"/>
      <c r="M115" s="28" t="s">
        <v>569</v>
      </c>
      <c r="N115" t="s">
        <v>785</v>
      </c>
      <c r="P115" t="s">
        <v>68</v>
      </c>
      <c r="Q115" t="s">
        <v>507</v>
      </c>
      <c r="R115" t="s">
        <v>569</v>
      </c>
      <c r="W115" t="s">
        <v>454</v>
      </c>
      <c r="BI115" s="24" t="str">
        <f>HYPERLINK("#자재조서!A41","MZTAA0090 →")</f>
        <v>MZTAA0090 →</v>
      </c>
    </row>
    <row r="116" spans="1:61" ht="18.399999999999999" customHeight="1">
      <c r="A116" s="28" t="s">
        <v>287</v>
      </c>
      <c r="B116" s="28" t="s">
        <v>639</v>
      </c>
      <c r="C116" s="2">
        <v>1</v>
      </c>
      <c r="D116" s="2" t="s">
        <v>502</v>
      </c>
      <c r="E116" s="22">
        <f t="shared" si="15"/>
        <v>0</v>
      </c>
      <c r="F116" s="22">
        <f t="shared" si="10"/>
        <v>0</v>
      </c>
      <c r="G116" s="22"/>
      <c r="H116" s="22">
        <f t="shared" si="16"/>
        <v>0</v>
      </c>
      <c r="I116" s="22"/>
      <c r="J116" s="22">
        <f>TRUNC(I116*C116,0)</f>
        <v>0</v>
      </c>
      <c r="K116" s="22"/>
      <c r="L116" s="22">
        <f>TRUNC(K116*C116,0)</f>
        <v>0</v>
      </c>
      <c r="M116" s="28" t="s">
        <v>368</v>
      </c>
      <c r="N116" t="s">
        <v>785</v>
      </c>
      <c r="P116" t="s">
        <v>65</v>
      </c>
      <c r="Q116" t="s">
        <v>785</v>
      </c>
      <c r="R116" t="s">
        <v>410</v>
      </c>
      <c r="T116" t="s">
        <v>498</v>
      </c>
      <c r="BI116" s="24" t="str">
        <f>HYPERLINK("#일위대가목록!A66","SWRJ5010 →")</f>
        <v>SWRJ5010 →</v>
      </c>
    </row>
    <row r="117" spans="1:61" ht="18.399999999999999" customHeight="1">
      <c r="A117" s="28" t="s">
        <v>361</v>
      </c>
      <c r="B117" s="28" t="s">
        <v>318</v>
      </c>
      <c r="C117" s="2">
        <v>5</v>
      </c>
      <c r="D117" s="2" t="s">
        <v>502</v>
      </c>
      <c r="E117" s="22">
        <f t="shared" si="15"/>
        <v>0</v>
      </c>
      <c r="F117" s="22">
        <f t="shared" ref="F117:F166" si="17">H117+J117+L117</f>
        <v>0</v>
      </c>
      <c r="G117" s="22"/>
      <c r="H117" s="22">
        <f t="shared" si="16"/>
        <v>0</v>
      </c>
      <c r="I117" s="22"/>
      <c r="J117" s="22"/>
      <c r="K117" s="22"/>
      <c r="L117" s="22"/>
      <c r="M117" s="28" t="s">
        <v>583</v>
      </c>
      <c r="N117" t="s">
        <v>785</v>
      </c>
      <c r="P117" t="s">
        <v>257</v>
      </c>
      <c r="Q117" t="s">
        <v>507</v>
      </c>
      <c r="R117" t="s">
        <v>583</v>
      </c>
      <c r="W117" t="s">
        <v>454</v>
      </c>
      <c r="BI117" s="24" t="str">
        <f>HYPERLINK("#자재조서!A42","MZTAA0100 →")</f>
        <v>MZTAA0100 →</v>
      </c>
    </row>
    <row r="118" spans="1:61" ht="18.399999999999999" customHeight="1">
      <c r="A118" s="28" t="s">
        <v>172</v>
      </c>
      <c r="B118" s="28" t="s">
        <v>95</v>
      </c>
      <c r="C118" s="2">
        <v>1</v>
      </c>
      <c r="D118" s="2" t="s">
        <v>502</v>
      </c>
      <c r="E118" s="22">
        <f t="shared" si="15"/>
        <v>0</v>
      </c>
      <c r="F118" s="22">
        <f t="shared" si="17"/>
        <v>0</v>
      </c>
      <c r="G118" s="22"/>
      <c r="H118" s="22">
        <f t="shared" si="16"/>
        <v>0</v>
      </c>
      <c r="I118" s="22"/>
      <c r="J118" s="22"/>
      <c r="K118" s="22"/>
      <c r="L118" s="22"/>
      <c r="M118" s="28" t="s">
        <v>411</v>
      </c>
      <c r="N118" t="s">
        <v>785</v>
      </c>
      <c r="P118" t="s">
        <v>471</v>
      </c>
      <c r="Q118" t="s">
        <v>507</v>
      </c>
      <c r="R118" t="s">
        <v>411</v>
      </c>
      <c r="W118" t="s">
        <v>454</v>
      </c>
      <c r="BI118" s="24" t="str">
        <f>HYPERLINK("#자재조서!A43","MZTAA0110 →")</f>
        <v>MZTAA0110 →</v>
      </c>
    </row>
    <row r="119" spans="1:61" ht="18.399999999999999" customHeight="1">
      <c r="A119" s="28" t="s">
        <v>450</v>
      </c>
      <c r="B119" s="28" t="s">
        <v>331</v>
      </c>
      <c r="C119" s="2">
        <v>17</v>
      </c>
      <c r="D119" s="2" t="s">
        <v>472</v>
      </c>
      <c r="E119" s="22">
        <f t="shared" si="15"/>
        <v>0</v>
      </c>
      <c r="F119" s="22">
        <f t="shared" si="17"/>
        <v>0</v>
      </c>
      <c r="G119" s="22"/>
      <c r="H119" s="22">
        <f t="shared" si="16"/>
        <v>0</v>
      </c>
      <c r="I119" s="22"/>
      <c r="J119" s="22">
        <f>TRUNC(I119*C119,0)</f>
        <v>0</v>
      </c>
      <c r="K119" s="22"/>
      <c r="L119" s="22">
        <f>TRUNC(K119*C119,0)</f>
        <v>0</v>
      </c>
      <c r="M119" s="28" t="s">
        <v>688</v>
      </c>
      <c r="N119" t="s">
        <v>785</v>
      </c>
      <c r="P119" t="s">
        <v>649</v>
      </c>
      <c r="Q119" t="s">
        <v>785</v>
      </c>
      <c r="R119" t="s">
        <v>198</v>
      </c>
      <c r="T119" t="s">
        <v>498</v>
      </c>
      <c r="BI119" s="24" t="str">
        <f>HYPERLINK("#일위대가목록!A67","SWRJ5020 →")</f>
        <v>SWRJ5020 →</v>
      </c>
    </row>
    <row r="120" spans="1:61" ht="18.399999999999999" customHeight="1">
      <c r="A120" s="28" t="s">
        <v>486</v>
      </c>
      <c r="B120" s="28" t="s">
        <v>455</v>
      </c>
      <c r="C120" s="2">
        <v>6.5</v>
      </c>
      <c r="D120" s="2" t="s">
        <v>472</v>
      </c>
      <c r="E120" s="22">
        <f t="shared" si="15"/>
        <v>0</v>
      </c>
      <c r="F120" s="22">
        <f t="shared" si="17"/>
        <v>0</v>
      </c>
      <c r="G120" s="22"/>
      <c r="H120" s="22">
        <f t="shared" si="16"/>
        <v>0</v>
      </c>
      <c r="I120" s="22"/>
      <c r="J120" s="22">
        <f>TRUNC(I120*C120,0)</f>
        <v>0</v>
      </c>
      <c r="K120" s="22"/>
      <c r="L120" s="22">
        <f>TRUNC(K120*C120,0)</f>
        <v>0</v>
      </c>
      <c r="M120" s="28" t="s">
        <v>285</v>
      </c>
      <c r="N120" t="s">
        <v>785</v>
      </c>
      <c r="P120" t="s">
        <v>246</v>
      </c>
      <c r="Q120" t="s">
        <v>785</v>
      </c>
      <c r="R120" t="s">
        <v>594</v>
      </c>
      <c r="T120" t="s">
        <v>498</v>
      </c>
      <c r="BI120" s="24" t="str">
        <f>HYPERLINK("#일위대가목록!A68","SWRJ5040 →")</f>
        <v>SWRJ5040 →</v>
      </c>
    </row>
    <row r="121" spans="1:61" ht="18.399999999999999" customHeight="1">
      <c r="A121" s="28" t="s">
        <v>457</v>
      </c>
      <c r="B121" s="28" t="s">
        <v>455</v>
      </c>
      <c r="C121" s="2">
        <v>32.5</v>
      </c>
      <c r="D121" s="2" t="s">
        <v>472</v>
      </c>
      <c r="E121" s="22">
        <f t="shared" si="15"/>
        <v>0</v>
      </c>
      <c r="F121" s="22">
        <f t="shared" si="17"/>
        <v>0</v>
      </c>
      <c r="G121" s="22"/>
      <c r="H121" s="22">
        <f t="shared" si="16"/>
        <v>0</v>
      </c>
      <c r="I121" s="22"/>
      <c r="J121" s="22">
        <f>TRUNC(I121*C121,0)</f>
        <v>0</v>
      </c>
      <c r="K121" s="22"/>
      <c r="L121" s="22">
        <f>TRUNC(K121*C121,0)</f>
        <v>0</v>
      </c>
      <c r="M121" s="28" t="s">
        <v>613</v>
      </c>
      <c r="N121" t="s">
        <v>785</v>
      </c>
      <c r="P121" t="s">
        <v>463</v>
      </c>
      <c r="Q121" t="s">
        <v>785</v>
      </c>
      <c r="R121" t="s">
        <v>422</v>
      </c>
      <c r="T121" t="s">
        <v>498</v>
      </c>
      <c r="BI121" s="24" t="str">
        <f>HYPERLINK("#일위대가목록!A69","SWRJ5050 →")</f>
        <v>SWRJ5050 →</v>
      </c>
    </row>
    <row r="122" spans="1:61" ht="18.399999999999999" customHeight="1">
      <c r="A122" s="28" t="s">
        <v>124</v>
      </c>
      <c r="B122" s="28" t="s">
        <v>779</v>
      </c>
      <c r="C122" s="2">
        <v>1</v>
      </c>
      <c r="D122" s="2" t="s">
        <v>619</v>
      </c>
      <c r="E122" s="22">
        <f t="shared" si="15"/>
        <v>0</v>
      </c>
      <c r="F122" s="22">
        <f t="shared" si="17"/>
        <v>0</v>
      </c>
      <c r="G122" s="22"/>
      <c r="H122" s="22">
        <f t="shared" si="16"/>
        <v>0</v>
      </c>
      <c r="I122" s="22"/>
      <c r="J122" s="22">
        <f>TRUNC(I122*C122,0)</f>
        <v>0</v>
      </c>
      <c r="K122" s="22"/>
      <c r="L122" s="22">
        <f>TRUNC(K122*C122,0)</f>
        <v>0</v>
      </c>
      <c r="M122" s="28" t="s">
        <v>297</v>
      </c>
      <c r="N122" t="s">
        <v>785</v>
      </c>
      <c r="P122" t="s">
        <v>633</v>
      </c>
      <c r="Q122" t="s">
        <v>785</v>
      </c>
      <c r="R122" t="s">
        <v>218</v>
      </c>
      <c r="T122" t="s">
        <v>498</v>
      </c>
      <c r="BI122" s="24" t="str">
        <f>HYPERLINK("#일위대가목록!A70","SWRJ5060 →")</f>
        <v>SWRJ5060 →</v>
      </c>
    </row>
    <row r="123" spans="1:61" ht="18.399999999999999" customHeight="1">
      <c r="A123" s="28" t="s">
        <v>650</v>
      </c>
      <c r="B123" s="28" t="s">
        <v>158</v>
      </c>
      <c r="C123" s="2">
        <v>1</v>
      </c>
      <c r="D123" s="2" t="s">
        <v>502</v>
      </c>
      <c r="E123" s="22">
        <f t="shared" si="15"/>
        <v>0</v>
      </c>
      <c r="F123" s="22">
        <f t="shared" si="17"/>
        <v>0</v>
      </c>
      <c r="G123" s="22"/>
      <c r="H123" s="22">
        <f t="shared" si="16"/>
        <v>0</v>
      </c>
      <c r="I123" s="22"/>
      <c r="J123" s="22"/>
      <c r="K123" s="22"/>
      <c r="L123" s="22"/>
      <c r="M123" s="28" t="s">
        <v>199</v>
      </c>
      <c r="N123" t="s">
        <v>785</v>
      </c>
      <c r="P123" t="s">
        <v>100</v>
      </c>
      <c r="Q123" t="s">
        <v>507</v>
      </c>
      <c r="R123" t="s">
        <v>199</v>
      </c>
      <c r="W123" t="s">
        <v>454</v>
      </c>
      <c r="BI123" s="24" t="str">
        <f>HYPERLINK("#자재조서!A44","MZTAA0120 →")</f>
        <v>MZTAA0120 →</v>
      </c>
    </row>
    <row r="124" spans="1:61" ht="18.399999999999999" customHeight="1">
      <c r="A124" s="28" t="s">
        <v>59</v>
      </c>
      <c r="B124" s="28" t="s">
        <v>719</v>
      </c>
      <c r="C124" s="2">
        <v>1</v>
      </c>
      <c r="D124" s="2" t="s">
        <v>502</v>
      </c>
      <c r="E124" s="22">
        <f t="shared" si="15"/>
        <v>0</v>
      </c>
      <c r="F124" s="22">
        <f t="shared" si="17"/>
        <v>0</v>
      </c>
      <c r="G124" s="22"/>
      <c r="H124" s="22">
        <f t="shared" si="16"/>
        <v>0</v>
      </c>
      <c r="I124" s="22"/>
      <c r="J124" s="22"/>
      <c r="K124" s="22"/>
      <c r="L124" s="22"/>
      <c r="M124" s="28" t="s">
        <v>7</v>
      </c>
      <c r="N124" t="s">
        <v>785</v>
      </c>
      <c r="P124" t="s">
        <v>293</v>
      </c>
      <c r="Q124" t="s">
        <v>507</v>
      </c>
      <c r="R124" t="s">
        <v>7</v>
      </c>
      <c r="W124" t="s">
        <v>454</v>
      </c>
      <c r="BI124" s="24" t="str">
        <f>HYPERLINK("#자재조서!A45","MZTAA0130 →")</f>
        <v>MZTAA0130 →</v>
      </c>
    </row>
    <row r="125" spans="1:61" ht="18.399999999999999" customHeight="1">
      <c r="A125" s="28" t="s">
        <v>259</v>
      </c>
      <c r="B125" s="28" t="s">
        <v>687</v>
      </c>
      <c r="C125" s="2">
        <v>1</v>
      </c>
      <c r="D125" s="2" t="s">
        <v>502</v>
      </c>
      <c r="E125" s="22">
        <f t="shared" si="15"/>
        <v>0</v>
      </c>
      <c r="F125" s="22">
        <f t="shared" si="17"/>
        <v>0</v>
      </c>
      <c r="G125" s="22"/>
      <c r="H125" s="22">
        <f t="shared" si="16"/>
        <v>0</v>
      </c>
      <c r="I125" s="22"/>
      <c r="J125" s="22"/>
      <c r="K125" s="22"/>
      <c r="L125" s="22"/>
      <c r="M125" s="28" t="s">
        <v>595</v>
      </c>
      <c r="N125" t="s">
        <v>785</v>
      </c>
      <c r="P125" t="s">
        <v>236</v>
      </c>
      <c r="Q125" t="s">
        <v>507</v>
      </c>
      <c r="R125" t="s">
        <v>595</v>
      </c>
      <c r="W125" t="s">
        <v>454</v>
      </c>
      <c r="BI125" s="24" t="str">
        <f>HYPERLINK("#자재조서!A46","MZTAA0140 →")</f>
        <v>MZTAA0140 →</v>
      </c>
    </row>
    <row r="126" spans="1:61" ht="18.399999999999999" customHeight="1">
      <c r="A126" s="28" t="s">
        <v>461</v>
      </c>
      <c r="B126" s="28" t="s">
        <v>345</v>
      </c>
      <c r="C126" s="2">
        <v>1</v>
      </c>
      <c r="D126" s="2" t="s">
        <v>502</v>
      </c>
      <c r="E126" s="22">
        <f t="shared" si="15"/>
        <v>0</v>
      </c>
      <c r="F126" s="22">
        <f t="shared" si="17"/>
        <v>0</v>
      </c>
      <c r="G126" s="22"/>
      <c r="H126" s="22">
        <f t="shared" si="16"/>
        <v>0</v>
      </c>
      <c r="I126" s="22"/>
      <c r="J126" s="22"/>
      <c r="K126" s="22"/>
      <c r="L126" s="22"/>
      <c r="M126" s="28" t="s">
        <v>423</v>
      </c>
      <c r="N126" t="s">
        <v>785</v>
      </c>
      <c r="P126" t="s">
        <v>40</v>
      </c>
      <c r="Q126" t="s">
        <v>507</v>
      </c>
      <c r="R126" t="s">
        <v>423</v>
      </c>
      <c r="W126" t="s">
        <v>454</v>
      </c>
      <c r="BI126" s="24" t="str">
        <f>HYPERLINK("#자재조서!A47","MZTAA0150 →")</f>
        <v>MZTAA0150 →</v>
      </c>
    </row>
    <row r="127" spans="1:61" ht="18.399999999999999" customHeight="1">
      <c r="A127" s="28" t="s">
        <v>641</v>
      </c>
      <c r="B127" s="28" t="s">
        <v>618</v>
      </c>
      <c r="C127" s="2">
        <v>1</v>
      </c>
      <c r="D127" s="2" t="s">
        <v>502</v>
      </c>
      <c r="E127" s="22">
        <f t="shared" si="15"/>
        <v>0</v>
      </c>
      <c r="F127" s="22">
        <f t="shared" si="17"/>
        <v>0</v>
      </c>
      <c r="G127" s="22"/>
      <c r="H127" s="22">
        <f t="shared" si="16"/>
        <v>0</v>
      </c>
      <c r="I127" s="22"/>
      <c r="J127" s="22"/>
      <c r="K127" s="22"/>
      <c r="L127" s="22"/>
      <c r="M127" s="28" t="s">
        <v>219</v>
      </c>
      <c r="N127" t="s">
        <v>785</v>
      </c>
      <c r="P127" t="s">
        <v>620</v>
      </c>
      <c r="Q127" t="s">
        <v>507</v>
      </c>
      <c r="R127" t="s">
        <v>219</v>
      </c>
      <c r="W127" t="s">
        <v>454</v>
      </c>
      <c r="BI127" s="24" t="str">
        <f>HYPERLINK("#자재조서!A48","MZTAA0160 →")</f>
        <v>MZTAA0160 →</v>
      </c>
    </row>
    <row r="128" spans="1:61" ht="18.399999999999999" customHeight="1">
      <c r="A128" s="28" t="s">
        <v>44</v>
      </c>
      <c r="B128" s="28" t="s">
        <v>186</v>
      </c>
      <c r="C128" s="2">
        <v>1</v>
      </c>
      <c r="D128" s="2" t="s">
        <v>502</v>
      </c>
      <c r="E128" s="22">
        <f t="shared" si="15"/>
        <v>0</v>
      </c>
      <c r="F128" s="22">
        <f t="shared" si="17"/>
        <v>0</v>
      </c>
      <c r="G128" s="22"/>
      <c r="H128" s="22">
        <f t="shared" si="16"/>
        <v>0</v>
      </c>
      <c r="I128" s="22"/>
      <c r="J128" s="22"/>
      <c r="K128" s="22"/>
      <c r="L128" s="22"/>
      <c r="M128" s="28" t="s">
        <v>18</v>
      </c>
      <c r="N128" t="s">
        <v>785</v>
      </c>
      <c r="P128" t="s">
        <v>452</v>
      </c>
      <c r="Q128" t="s">
        <v>507</v>
      </c>
      <c r="R128" t="s">
        <v>18</v>
      </c>
      <c r="W128" t="s">
        <v>454</v>
      </c>
      <c r="BI128" s="24" t="str">
        <f>HYPERLINK("#자재조서!A49","MZTAA0170 →")</f>
        <v>MZTAA0170 →</v>
      </c>
    </row>
    <row r="129" spans="1:61" ht="18.399999999999999" customHeight="1">
      <c r="A129" s="28" t="s">
        <v>747</v>
      </c>
      <c r="B129" s="28" t="s">
        <v>635</v>
      </c>
      <c r="C129" s="2">
        <v>1</v>
      </c>
      <c r="D129" s="2" t="s">
        <v>502</v>
      </c>
      <c r="E129" s="22">
        <f t="shared" si="15"/>
        <v>0</v>
      </c>
      <c r="F129" s="22">
        <f t="shared" si="17"/>
        <v>0</v>
      </c>
      <c r="G129" s="22"/>
      <c r="H129" s="22">
        <f t="shared" si="16"/>
        <v>0</v>
      </c>
      <c r="I129" s="22"/>
      <c r="J129" s="22"/>
      <c r="K129" s="22"/>
      <c r="L129" s="22"/>
      <c r="M129" s="28" t="s">
        <v>607</v>
      </c>
      <c r="N129" t="s">
        <v>785</v>
      </c>
      <c r="P129" t="s">
        <v>227</v>
      </c>
      <c r="Q129" t="s">
        <v>507</v>
      </c>
      <c r="R129" t="s">
        <v>607</v>
      </c>
      <c r="W129" t="s">
        <v>454</v>
      </c>
      <c r="BI129" s="24" t="str">
        <f>HYPERLINK("#자재조서!A50","MZTAA0180 →")</f>
        <v>MZTAA0180 →</v>
      </c>
    </row>
    <row r="130" spans="1:61" ht="18.399999999999999" customHeight="1">
      <c r="A130" s="28" t="s">
        <v>328</v>
      </c>
      <c r="B130" s="28" t="s">
        <v>785</v>
      </c>
      <c r="C130" s="2"/>
      <c r="D130" s="2" t="s">
        <v>785</v>
      </c>
      <c r="E130" s="22">
        <f t="shared" si="15"/>
        <v>0</v>
      </c>
      <c r="F130" s="22">
        <f t="shared" si="17"/>
        <v>0</v>
      </c>
      <c r="G130" s="1"/>
      <c r="H130" s="22">
        <v>0</v>
      </c>
      <c r="I130" s="1"/>
      <c r="J130" s="22">
        <v>0</v>
      </c>
      <c r="K130" s="1"/>
      <c r="L130" s="22">
        <v>0</v>
      </c>
      <c r="M130" s="28" t="s">
        <v>785</v>
      </c>
      <c r="N130" t="s">
        <v>785</v>
      </c>
      <c r="P130" t="s">
        <v>27</v>
      </c>
      <c r="Q130" t="s">
        <v>507</v>
      </c>
      <c r="R130" t="s">
        <v>785</v>
      </c>
    </row>
    <row r="131" spans="1:61" ht="18.399999999999999" customHeight="1">
      <c r="A131" s="28" t="s">
        <v>328</v>
      </c>
      <c r="B131" s="28" t="s">
        <v>785</v>
      </c>
      <c r="C131" s="2"/>
      <c r="D131" s="2" t="s">
        <v>785</v>
      </c>
      <c r="E131" s="22">
        <f t="shared" si="15"/>
        <v>0</v>
      </c>
      <c r="F131" s="22">
        <f t="shared" si="17"/>
        <v>0</v>
      </c>
      <c r="G131" s="1"/>
      <c r="H131" s="22">
        <v>0</v>
      </c>
      <c r="I131" s="1"/>
      <c r="J131" s="22">
        <v>0</v>
      </c>
      <c r="K131" s="1"/>
      <c r="L131" s="22">
        <v>0</v>
      </c>
      <c r="M131" s="28" t="s">
        <v>785</v>
      </c>
      <c r="N131" t="s">
        <v>785</v>
      </c>
      <c r="P131" t="s">
        <v>605</v>
      </c>
      <c r="Q131" t="s">
        <v>187</v>
      </c>
      <c r="R131" t="s">
        <v>785</v>
      </c>
    </row>
    <row r="132" spans="1:61" ht="18.399999999999999" customHeight="1">
      <c r="A132" s="28" t="s">
        <v>58</v>
      </c>
      <c r="B132" s="28" t="s">
        <v>785</v>
      </c>
      <c r="C132" s="2">
        <v>1</v>
      </c>
      <c r="D132" s="2" t="s">
        <v>619</v>
      </c>
      <c r="E132" s="1"/>
      <c r="F132" s="22">
        <f t="shared" si="17"/>
        <v>0</v>
      </c>
      <c r="G132" s="1"/>
      <c r="H132" s="22">
        <f>TRUNC(H133+H134+H135+H136+H137,0)</f>
        <v>0</v>
      </c>
      <c r="I132" s="1"/>
      <c r="J132" s="22">
        <f>TRUNC(J133+J134+J135+J136+J137,0)</f>
        <v>0</v>
      </c>
      <c r="K132" s="1"/>
      <c r="L132" s="22">
        <f>TRUNC(L133+L134+L135+L136+L137,0)</f>
        <v>0</v>
      </c>
      <c r="M132" s="28" t="s">
        <v>785</v>
      </c>
      <c r="N132" t="s">
        <v>785</v>
      </c>
      <c r="O132" t="s">
        <v>350</v>
      </c>
    </row>
    <row r="133" spans="1:61" ht="18.399999999999999" customHeight="1">
      <c r="A133" s="28" t="s">
        <v>315</v>
      </c>
      <c r="B133" s="28" t="s">
        <v>402</v>
      </c>
      <c r="C133" s="2">
        <v>386</v>
      </c>
      <c r="D133" s="2" t="s">
        <v>574</v>
      </c>
      <c r="E133" s="22">
        <f t="shared" ref="E133:E138" si="18">G133+I133+K133</f>
        <v>0</v>
      </c>
      <c r="F133" s="22">
        <f t="shared" si="17"/>
        <v>0</v>
      </c>
      <c r="G133" s="22"/>
      <c r="H133" s="22">
        <f>TRUNC(G133*C133,0)</f>
        <v>0</v>
      </c>
      <c r="I133" s="22"/>
      <c r="J133" s="22">
        <f>TRUNC(I133*C133,0)</f>
        <v>0</v>
      </c>
      <c r="K133" s="22"/>
      <c r="L133" s="22">
        <f>TRUNC(K133*C133,0)</f>
        <v>0</v>
      </c>
      <c r="M133" s="28" t="s">
        <v>610</v>
      </c>
      <c r="N133" t="s">
        <v>785</v>
      </c>
      <c r="P133" t="s">
        <v>102</v>
      </c>
      <c r="Q133" t="s">
        <v>785</v>
      </c>
      <c r="R133" t="s">
        <v>24</v>
      </c>
      <c r="T133" t="s">
        <v>498</v>
      </c>
      <c r="BI133" s="24" t="str">
        <f>HYPERLINK("#일위대가목록!A71","SWRJ7010 →")</f>
        <v>SWRJ7010 →</v>
      </c>
    </row>
    <row r="134" spans="1:61" ht="18.399999999999999" customHeight="1">
      <c r="A134" s="28" t="s">
        <v>525</v>
      </c>
      <c r="B134" s="28" t="s">
        <v>271</v>
      </c>
      <c r="C134" s="2">
        <v>894</v>
      </c>
      <c r="D134" s="2" t="s">
        <v>574</v>
      </c>
      <c r="E134" s="22">
        <f t="shared" si="18"/>
        <v>0</v>
      </c>
      <c r="F134" s="22">
        <f t="shared" si="17"/>
        <v>0</v>
      </c>
      <c r="G134" s="22"/>
      <c r="H134" s="22">
        <f>TRUNC(G134*C134,0)</f>
        <v>0</v>
      </c>
      <c r="I134" s="22"/>
      <c r="J134" s="22">
        <f>TRUNC(I134*C134,0)</f>
        <v>0</v>
      </c>
      <c r="K134" s="22"/>
      <c r="L134" s="22">
        <f>TRUNC(K134*C134,0)</f>
        <v>0</v>
      </c>
      <c r="M134" s="28" t="s">
        <v>523</v>
      </c>
      <c r="N134" t="s">
        <v>785</v>
      </c>
      <c r="P134" t="s">
        <v>675</v>
      </c>
      <c r="Q134" t="s">
        <v>785</v>
      </c>
      <c r="R134" t="s">
        <v>611</v>
      </c>
      <c r="T134" t="s">
        <v>498</v>
      </c>
      <c r="BI134" s="24" t="str">
        <f>HYPERLINK("#일위대가목록!A72","SWRJ7020 →")</f>
        <v>SWRJ7020 →</v>
      </c>
    </row>
    <row r="135" spans="1:61" ht="18.399999999999999" customHeight="1">
      <c r="A135" s="28" t="s">
        <v>390</v>
      </c>
      <c r="B135" s="28" t="s">
        <v>522</v>
      </c>
      <c r="C135" s="2">
        <v>13</v>
      </c>
      <c r="D135" s="2" t="s">
        <v>574</v>
      </c>
      <c r="E135" s="22">
        <f t="shared" si="18"/>
        <v>0</v>
      </c>
      <c r="F135" s="22">
        <f t="shared" si="17"/>
        <v>0</v>
      </c>
      <c r="G135" s="22"/>
      <c r="H135" s="22">
        <f>TRUNC(G135*C135,0)</f>
        <v>0</v>
      </c>
      <c r="I135" s="22"/>
      <c r="J135" s="22">
        <f>TRUNC(I135*C135,0)</f>
        <v>0</v>
      </c>
      <c r="K135" s="22"/>
      <c r="L135" s="22">
        <f>TRUNC(K135*C135,0)</f>
        <v>0</v>
      </c>
      <c r="M135" s="28" t="s">
        <v>177</v>
      </c>
      <c r="N135" t="s">
        <v>785</v>
      </c>
      <c r="P135" t="s">
        <v>250</v>
      </c>
      <c r="Q135" t="s">
        <v>785</v>
      </c>
      <c r="R135" t="s">
        <v>217</v>
      </c>
      <c r="T135" t="s">
        <v>498</v>
      </c>
      <c r="BI135" s="24" t="str">
        <f>HYPERLINK("#일위대가목록!A73","SWRJ7025 →")</f>
        <v>SWRJ7025 →</v>
      </c>
    </row>
    <row r="136" spans="1:61" ht="18.399999999999999" customHeight="1">
      <c r="A136" s="28" t="s">
        <v>593</v>
      </c>
      <c r="B136" s="28" t="s">
        <v>526</v>
      </c>
      <c r="C136" s="2">
        <v>183</v>
      </c>
      <c r="D136" s="2" t="s">
        <v>472</v>
      </c>
      <c r="E136" s="22">
        <f t="shared" si="18"/>
        <v>0</v>
      </c>
      <c r="F136" s="22">
        <f t="shared" si="17"/>
        <v>0</v>
      </c>
      <c r="G136" s="22"/>
      <c r="H136" s="22">
        <f>TRUNC(G136*C136,0)</f>
        <v>0</v>
      </c>
      <c r="I136" s="22"/>
      <c r="J136" s="22">
        <f>TRUNC(I136*C136,0)</f>
        <v>0</v>
      </c>
      <c r="K136" s="22"/>
      <c r="L136" s="22">
        <f>TRUNC(K136*C136,0)</f>
        <v>0</v>
      </c>
      <c r="M136" s="28" t="s">
        <v>401</v>
      </c>
      <c r="N136" t="s">
        <v>785</v>
      </c>
      <c r="P136" t="s">
        <v>490</v>
      </c>
      <c r="Q136" t="s">
        <v>785</v>
      </c>
      <c r="R136" t="s">
        <v>430</v>
      </c>
      <c r="T136" t="s">
        <v>498</v>
      </c>
      <c r="BI136" s="24" t="str">
        <f>HYPERLINK("#일위대가목록!A74","SWRJ7030 →")</f>
        <v>SWRJ7030 →</v>
      </c>
    </row>
    <row r="137" spans="1:61" ht="18.399999999999999" customHeight="1">
      <c r="A137" s="28" t="s">
        <v>614</v>
      </c>
      <c r="B137" s="28" t="s">
        <v>526</v>
      </c>
      <c r="C137" s="2">
        <v>139</v>
      </c>
      <c r="D137" s="2" t="s">
        <v>472</v>
      </c>
      <c r="E137" s="22">
        <f t="shared" si="18"/>
        <v>0</v>
      </c>
      <c r="F137" s="22">
        <f t="shared" si="17"/>
        <v>0</v>
      </c>
      <c r="G137" s="22"/>
      <c r="H137" s="22">
        <f>TRUNC(G137*C137,0)</f>
        <v>0</v>
      </c>
      <c r="I137" s="22"/>
      <c r="J137" s="22">
        <f>TRUNC(I137*C137,0)</f>
        <v>0</v>
      </c>
      <c r="K137" s="22"/>
      <c r="L137" s="22">
        <f>TRUNC(K137*C137,0)</f>
        <v>0</v>
      </c>
      <c r="M137" s="28" t="s">
        <v>66</v>
      </c>
      <c r="N137" t="s">
        <v>785</v>
      </c>
      <c r="P137" t="s">
        <v>291</v>
      </c>
      <c r="Q137" t="s">
        <v>785</v>
      </c>
      <c r="R137" t="s">
        <v>242</v>
      </c>
      <c r="T137" t="s">
        <v>498</v>
      </c>
      <c r="BI137" s="24" t="str">
        <f>HYPERLINK("#일위대가목록!A75","SWRJ7040 →")</f>
        <v>SWRJ7040 →</v>
      </c>
    </row>
    <row r="138" spans="1:61" ht="18.399999999999999" customHeight="1">
      <c r="A138" s="28" t="s">
        <v>328</v>
      </c>
      <c r="B138" s="28" t="s">
        <v>785</v>
      </c>
      <c r="C138" s="2"/>
      <c r="D138" s="2" t="s">
        <v>785</v>
      </c>
      <c r="E138" s="22">
        <f t="shared" si="18"/>
        <v>0</v>
      </c>
      <c r="F138" s="22">
        <f t="shared" si="17"/>
        <v>0</v>
      </c>
      <c r="G138" s="1"/>
      <c r="H138" s="22">
        <v>0</v>
      </c>
      <c r="I138" s="1"/>
      <c r="J138" s="22">
        <v>0</v>
      </c>
      <c r="K138" s="1"/>
      <c r="L138" s="22">
        <v>0</v>
      </c>
      <c r="M138" s="28" t="s">
        <v>785</v>
      </c>
      <c r="N138" t="s">
        <v>785</v>
      </c>
      <c r="P138" t="s">
        <v>87</v>
      </c>
      <c r="Q138" t="s">
        <v>507</v>
      </c>
      <c r="R138" t="s">
        <v>785</v>
      </c>
    </row>
    <row r="139" spans="1:61" ht="18.399999999999999" customHeight="1">
      <c r="A139" s="28" t="s">
        <v>763</v>
      </c>
      <c r="B139" s="28" t="s">
        <v>785</v>
      </c>
      <c r="C139" s="2">
        <v>1</v>
      </c>
      <c r="D139" s="2" t="s">
        <v>619</v>
      </c>
      <c r="E139" s="1"/>
      <c r="F139" s="22">
        <f t="shared" si="17"/>
        <v>0</v>
      </c>
      <c r="G139" s="1"/>
      <c r="H139" s="22">
        <f>TRUNC(H140,0)</f>
        <v>0</v>
      </c>
      <c r="I139" s="1"/>
      <c r="J139" s="22">
        <f>TRUNC(J140,0)</f>
        <v>0</v>
      </c>
      <c r="K139" s="1"/>
      <c r="L139" s="22">
        <f>TRUNC(L140,0)</f>
        <v>0</v>
      </c>
      <c r="M139" s="28" t="s">
        <v>785</v>
      </c>
      <c r="N139" t="s">
        <v>785</v>
      </c>
      <c r="O139" t="s">
        <v>707</v>
      </c>
    </row>
    <row r="140" spans="1:61" ht="18.399999999999999" customHeight="1">
      <c r="A140" s="28" t="s">
        <v>22</v>
      </c>
      <c r="B140" s="28" t="s">
        <v>785</v>
      </c>
      <c r="C140" s="2">
        <v>1</v>
      </c>
      <c r="D140" s="2" t="s">
        <v>619</v>
      </c>
      <c r="E140" s="22">
        <f>G140+I140+K140</f>
        <v>0</v>
      </c>
      <c r="F140" s="22">
        <f t="shared" si="17"/>
        <v>0</v>
      </c>
      <c r="G140" s="22"/>
      <c r="H140" s="22">
        <f>TRUNC(G140*C140,0)</f>
        <v>0</v>
      </c>
      <c r="I140" s="22"/>
      <c r="J140" s="22">
        <f>TRUNC(I140*C140,0)</f>
        <v>0</v>
      </c>
      <c r="K140" s="22"/>
      <c r="L140" s="22">
        <f>TRUNC(K140*C140,0)</f>
        <v>0</v>
      </c>
      <c r="M140" s="28" t="s">
        <v>512</v>
      </c>
      <c r="N140" t="s">
        <v>785</v>
      </c>
      <c r="P140" t="s">
        <v>102</v>
      </c>
      <c r="Q140" t="s">
        <v>785</v>
      </c>
      <c r="R140" t="s">
        <v>111</v>
      </c>
      <c r="T140" t="s">
        <v>498</v>
      </c>
      <c r="BI140" s="24" t="str">
        <f>HYPERLINK("#일위대가목록!A32","SSSK0011 →")</f>
        <v>SSSK0011 →</v>
      </c>
    </row>
    <row r="141" spans="1:61" ht="18.399999999999999" customHeight="1">
      <c r="A141" s="28" t="s">
        <v>328</v>
      </c>
      <c r="B141" s="28" t="s">
        <v>785</v>
      </c>
      <c r="C141" s="2"/>
      <c r="D141" s="2" t="s">
        <v>785</v>
      </c>
      <c r="E141" s="22">
        <f>G141+I141+K141</f>
        <v>0</v>
      </c>
      <c r="F141" s="22">
        <f t="shared" si="17"/>
        <v>0</v>
      </c>
      <c r="G141" s="1"/>
      <c r="H141" s="22">
        <v>0</v>
      </c>
      <c r="I141" s="1"/>
      <c r="J141" s="22">
        <v>0</v>
      </c>
      <c r="K141" s="1"/>
      <c r="L141" s="22">
        <v>0</v>
      </c>
      <c r="M141" s="28" t="s">
        <v>785</v>
      </c>
      <c r="N141" t="s">
        <v>785</v>
      </c>
      <c r="P141" t="s">
        <v>291</v>
      </c>
      <c r="Q141" t="s">
        <v>507</v>
      </c>
      <c r="R141" t="s">
        <v>785</v>
      </c>
    </row>
    <row r="142" spans="1:61" ht="18.399999999999999" customHeight="1">
      <c r="A142" s="28" t="s">
        <v>328</v>
      </c>
      <c r="B142" s="28" t="s">
        <v>785</v>
      </c>
      <c r="C142" s="2"/>
      <c r="D142" s="2" t="s">
        <v>785</v>
      </c>
      <c r="E142" s="22">
        <f>G142+I142+K142</f>
        <v>0</v>
      </c>
      <c r="F142" s="22">
        <f t="shared" si="17"/>
        <v>0</v>
      </c>
      <c r="G142" s="1"/>
      <c r="H142" s="22">
        <v>0</v>
      </c>
      <c r="I142" s="1"/>
      <c r="J142" s="22">
        <v>0</v>
      </c>
      <c r="K142" s="1"/>
      <c r="L142" s="22">
        <v>0</v>
      </c>
      <c r="M142" s="28" t="s">
        <v>785</v>
      </c>
      <c r="N142" t="s">
        <v>785</v>
      </c>
      <c r="P142" t="s">
        <v>87</v>
      </c>
      <c r="Q142" t="s">
        <v>187</v>
      </c>
      <c r="R142" t="s">
        <v>785</v>
      </c>
    </row>
    <row r="143" spans="1:61" ht="18.399999999999999" customHeight="1">
      <c r="A143" s="28" t="s">
        <v>239</v>
      </c>
      <c r="B143" s="28" t="s">
        <v>785</v>
      </c>
      <c r="C143" s="2">
        <v>1</v>
      </c>
      <c r="D143" s="2" t="s">
        <v>619</v>
      </c>
      <c r="E143" s="1"/>
      <c r="F143" s="22">
        <f t="shared" si="17"/>
        <v>0</v>
      </c>
      <c r="G143" s="1"/>
      <c r="H143" s="22">
        <f>TRUNC(H144,0)</f>
        <v>0</v>
      </c>
      <c r="I143" s="1"/>
      <c r="J143" s="22">
        <f>TRUNC(J144,0)</f>
        <v>0</v>
      </c>
      <c r="K143" s="1"/>
      <c r="L143" s="22">
        <f>TRUNC(L144,0)</f>
        <v>0</v>
      </c>
      <c r="M143" s="28" t="s">
        <v>785</v>
      </c>
      <c r="N143" t="s">
        <v>785</v>
      </c>
      <c r="O143" t="s">
        <v>376</v>
      </c>
    </row>
    <row r="144" spans="1:61" ht="18.399999999999999" customHeight="1">
      <c r="A144" s="28" t="s">
        <v>751</v>
      </c>
      <c r="B144" s="28" t="s">
        <v>627</v>
      </c>
      <c r="C144" s="2">
        <v>2600</v>
      </c>
      <c r="D144" s="2" t="s">
        <v>469</v>
      </c>
      <c r="E144" s="22">
        <f>G144+I144+K144</f>
        <v>0</v>
      </c>
      <c r="F144" s="22">
        <f t="shared" si="17"/>
        <v>0</v>
      </c>
      <c r="G144" s="22"/>
      <c r="H144" s="22">
        <f>TRUNC(G144*C144,0)</f>
        <v>0</v>
      </c>
      <c r="I144" s="22"/>
      <c r="J144" s="22"/>
      <c r="K144" s="22"/>
      <c r="L144" s="22"/>
      <c r="M144" s="28" t="s">
        <v>288</v>
      </c>
      <c r="N144" t="s">
        <v>785</v>
      </c>
      <c r="P144" t="s">
        <v>102</v>
      </c>
      <c r="Q144" t="s">
        <v>785</v>
      </c>
      <c r="R144" t="s">
        <v>288</v>
      </c>
      <c r="BI144" s="24" t="str">
        <f>HYPERLINK("#자재조서!A56","MZTAA3010 →")</f>
        <v>MZTAA3010 →</v>
      </c>
    </row>
    <row r="145" spans="1:18" ht="18.399999999999999" customHeight="1">
      <c r="A145" s="28" t="s">
        <v>328</v>
      </c>
      <c r="B145" s="28" t="s">
        <v>785</v>
      </c>
      <c r="C145" s="2"/>
      <c r="D145" s="2" t="s">
        <v>785</v>
      </c>
      <c r="E145" s="22">
        <f>G145+I145+K145</f>
        <v>0</v>
      </c>
      <c r="F145" s="22">
        <f t="shared" si="17"/>
        <v>0</v>
      </c>
      <c r="G145" s="1"/>
      <c r="H145" s="22">
        <v>0</v>
      </c>
      <c r="I145" s="1"/>
      <c r="J145" s="22">
        <v>0</v>
      </c>
      <c r="K145" s="1"/>
      <c r="L145" s="22">
        <v>0</v>
      </c>
      <c r="M145" s="28" t="s">
        <v>785</v>
      </c>
      <c r="N145" t="s">
        <v>785</v>
      </c>
      <c r="P145" t="s">
        <v>675</v>
      </c>
      <c r="Q145" t="s">
        <v>507</v>
      </c>
      <c r="R145" t="s">
        <v>785</v>
      </c>
    </row>
    <row r="146" spans="1:18" ht="18.399999999999999" customHeight="1">
      <c r="A146" s="28"/>
      <c r="B146" s="28"/>
      <c r="C146" s="2"/>
      <c r="D146" s="2"/>
      <c r="E146" s="22"/>
      <c r="F146" s="22"/>
      <c r="G146" s="1"/>
      <c r="H146" s="22"/>
      <c r="I146" s="1"/>
      <c r="J146" s="22"/>
      <c r="K146" s="1"/>
      <c r="L146" s="22"/>
      <c r="M146" s="28"/>
    </row>
    <row r="147" spans="1:18" ht="18.399999999999999" customHeight="1">
      <c r="A147" s="28"/>
      <c r="B147" s="28"/>
      <c r="C147" s="2"/>
      <c r="D147" s="2"/>
      <c r="E147" s="22"/>
      <c r="F147" s="22"/>
      <c r="G147" s="1"/>
      <c r="H147" s="22"/>
      <c r="I147" s="1"/>
      <c r="J147" s="22"/>
      <c r="K147" s="1"/>
      <c r="L147" s="22"/>
      <c r="M147" s="28"/>
    </row>
    <row r="148" spans="1:18" ht="18.399999999999999" customHeight="1">
      <c r="A148" s="28"/>
      <c r="B148" s="28"/>
      <c r="C148" s="2"/>
      <c r="D148" s="2"/>
      <c r="E148" s="22"/>
      <c r="F148" s="22"/>
      <c r="G148" s="1"/>
      <c r="H148" s="22"/>
      <c r="I148" s="1"/>
      <c r="J148" s="22"/>
      <c r="K148" s="1"/>
      <c r="L148" s="22"/>
      <c r="M148" s="28"/>
    </row>
    <row r="149" spans="1:18" ht="18.399999999999999" customHeight="1">
      <c r="A149" s="28"/>
      <c r="B149" s="28"/>
      <c r="C149" s="2"/>
      <c r="D149" s="2"/>
      <c r="E149" s="22"/>
      <c r="F149" s="22"/>
      <c r="G149" s="1"/>
      <c r="H149" s="22"/>
      <c r="I149" s="1"/>
      <c r="J149" s="22"/>
      <c r="K149" s="1"/>
      <c r="L149" s="22"/>
      <c r="M149" s="28"/>
    </row>
    <row r="150" spans="1:18" ht="18.399999999999999" customHeight="1">
      <c r="A150" s="28"/>
      <c r="B150" s="28"/>
      <c r="C150" s="2"/>
      <c r="D150" s="2"/>
      <c r="E150" s="22"/>
      <c r="F150" s="22"/>
      <c r="G150" s="1"/>
      <c r="H150" s="22"/>
      <c r="I150" s="1"/>
      <c r="J150" s="22"/>
      <c r="K150" s="1"/>
      <c r="L150" s="22"/>
      <c r="M150" s="28"/>
    </row>
    <row r="151" spans="1:18" ht="18.399999999999999" customHeight="1">
      <c r="A151" s="28"/>
      <c r="B151" s="28"/>
      <c r="C151" s="2"/>
      <c r="D151" s="2"/>
      <c r="E151" s="22"/>
      <c r="F151" s="22"/>
      <c r="G151" s="1"/>
      <c r="H151" s="22"/>
      <c r="I151" s="1"/>
      <c r="J151" s="22"/>
      <c r="K151" s="1"/>
      <c r="L151" s="22"/>
      <c r="M151" s="28"/>
    </row>
    <row r="152" spans="1:18" ht="18.399999999999999" customHeight="1">
      <c r="A152" s="28"/>
      <c r="B152" s="28"/>
      <c r="C152" s="2"/>
      <c r="D152" s="2"/>
      <c r="E152" s="22"/>
      <c r="F152" s="22"/>
      <c r="G152" s="1"/>
      <c r="H152" s="22"/>
      <c r="I152" s="1"/>
      <c r="J152" s="22"/>
      <c r="K152" s="1"/>
      <c r="L152" s="22"/>
      <c r="M152" s="28"/>
    </row>
    <row r="153" spans="1:18" ht="18.399999999999999" customHeight="1">
      <c r="A153" s="28"/>
      <c r="B153" s="28"/>
      <c r="C153" s="2"/>
      <c r="D153" s="2"/>
      <c r="E153" s="22"/>
      <c r="F153" s="22"/>
      <c r="G153" s="1"/>
      <c r="H153" s="22"/>
      <c r="I153" s="1"/>
      <c r="J153" s="22"/>
      <c r="K153" s="1"/>
      <c r="L153" s="22"/>
      <c r="M153" s="28"/>
    </row>
    <row r="154" spans="1:18" ht="18.399999999999999" customHeight="1">
      <c r="A154" s="28"/>
      <c r="B154" s="28"/>
      <c r="C154" s="2"/>
      <c r="D154" s="2"/>
      <c r="E154" s="22"/>
      <c r="F154" s="22"/>
      <c r="G154" s="1"/>
      <c r="H154" s="22"/>
      <c r="I154" s="1"/>
      <c r="J154" s="22"/>
      <c r="K154" s="1"/>
      <c r="L154" s="22"/>
      <c r="M154" s="28"/>
    </row>
    <row r="155" spans="1:18" ht="18.399999999999999" customHeight="1">
      <c r="A155" s="28"/>
      <c r="B155" s="28"/>
      <c r="C155" s="2"/>
      <c r="D155" s="2"/>
      <c r="E155" s="22"/>
      <c r="F155" s="22"/>
      <c r="G155" s="1"/>
      <c r="H155" s="22"/>
      <c r="I155" s="1"/>
      <c r="J155" s="22"/>
      <c r="K155" s="1"/>
      <c r="L155" s="22"/>
      <c r="M155" s="28"/>
    </row>
    <row r="156" spans="1:18" ht="18.399999999999999" customHeight="1">
      <c r="A156" s="28"/>
      <c r="B156" s="28"/>
      <c r="C156" s="2"/>
      <c r="D156" s="2"/>
      <c r="E156" s="22"/>
      <c r="F156" s="22"/>
      <c r="G156" s="1"/>
      <c r="H156" s="22"/>
      <c r="I156" s="1"/>
      <c r="J156" s="22"/>
      <c r="K156" s="1"/>
      <c r="L156" s="22"/>
      <c r="M156" s="28"/>
    </row>
    <row r="157" spans="1:18" ht="18.399999999999999" customHeight="1">
      <c r="A157" s="28"/>
      <c r="B157" s="28"/>
      <c r="C157" s="2"/>
      <c r="D157" s="2"/>
      <c r="E157" s="22"/>
      <c r="F157" s="22"/>
      <c r="G157" s="1"/>
      <c r="H157" s="22"/>
      <c r="I157" s="1"/>
      <c r="J157" s="22"/>
      <c r="K157" s="1"/>
      <c r="L157" s="22"/>
      <c r="M157" s="28"/>
    </row>
    <row r="158" spans="1:18" ht="18.399999999999999" customHeight="1">
      <c r="A158" s="28"/>
      <c r="B158" s="28"/>
      <c r="C158" s="2"/>
      <c r="D158" s="2"/>
      <c r="E158" s="22"/>
      <c r="F158" s="22"/>
      <c r="G158" s="1"/>
      <c r="H158" s="22"/>
      <c r="I158" s="1"/>
      <c r="J158" s="22"/>
      <c r="K158" s="1"/>
      <c r="L158" s="22"/>
      <c r="M158" s="28"/>
    </row>
    <row r="159" spans="1:18" ht="18.399999999999999" customHeight="1">
      <c r="A159" s="28"/>
      <c r="B159" s="28"/>
      <c r="C159" s="2"/>
      <c r="D159" s="2"/>
      <c r="E159" s="22"/>
      <c r="F159" s="22"/>
      <c r="G159" s="1"/>
      <c r="H159" s="22"/>
      <c r="I159" s="1"/>
      <c r="J159" s="22"/>
      <c r="K159" s="1"/>
      <c r="L159" s="22"/>
      <c r="M159" s="28"/>
    </row>
    <row r="160" spans="1:18" ht="18.399999999999999" customHeight="1">
      <c r="A160" s="28"/>
      <c r="B160" s="28"/>
      <c r="C160" s="2"/>
      <c r="D160" s="2"/>
      <c r="E160" s="22"/>
      <c r="F160" s="22"/>
      <c r="G160" s="1"/>
      <c r="H160" s="22"/>
      <c r="I160" s="1"/>
      <c r="J160" s="22"/>
      <c r="K160" s="1"/>
      <c r="L160" s="22"/>
      <c r="M160" s="28"/>
    </row>
    <row r="161" spans="1:61" ht="18.399999999999999" customHeight="1">
      <c r="A161" s="28"/>
      <c r="B161" s="28"/>
      <c r="C161" s="2"/>
      <c r="D161" s="2"/>
      <c r="E161" s="22"/>
      <c r="F161" s="22"/>
      <c r="G161" s="1"/>
      <c r="H161" s="22"/>
      <c r="I161" s="1"/>
      <c r="J161" s="22"/>
      <c r="K161" s="1"/>
      <c r="L161" s="22"/>
      <c r="M161" s="28"/>
    </row>
    <row r="162" spans="1:61" ht="18.399999999999999" customHeight="1">
      <c r="A162" s="28"/>
      <c r="B162" s="28"/>
      <c r="C162" s="2"/>
      <c r="D162" s="2"/>
      <c r="E162" s="22"/>
      <c r="F162" s="22"/>
      <c r="G162" s="1"/>
      <c r="H162" s="22"/>
      <c r="I162" s="1"/>
      <c r="J162" s="22"/>
      <c r="K162" s="1"/>
      <c r="L162" s="22"/>
      <c r="M162" s="28"/>
    </row>
    <row r="163" spans="1:61" ht="18.399999999999999" customHeight="1">
      <c r="A163" s="28"/>
      <c r="B163" s="28"/>
      <c r="C163" s="2"/>
      <c r="D163" s="2"/>
      <c r="E163" s="22"/>
      <c r="F163" s="22"/>
      <c r="G163" s="1"/>
      <c r="H163" s="22"/>
      <c r="I163" s="1"/>
      <c r="J163" s="22"/>
      <c r="K163" s="1"/>
      <c r="L163" s="22"/>
      <c r="M163" s="28"/>
    </row>
    <row r="164" spans="1:61" ht="18.399999999999999" customHeight="1">
      <c r="A164" s="28"/>
      <c r="B164" s="28"/>
      <c r="C164" s="2"/>
      <c r="D164" s="2"/>
      <c r="E164" s="22"/>
      <c r="F164" s="22"/>
      <c r="G164" s="1"/>
      <c r="H164" s="22"/>
      <c r="I164" s="1"/>
      <c r="J164" s="22"/>
      <c r="K164" s="1"/>
      <c r="L164" s="22"/>
      <c r="M164" s="28"/>
    </row>
    <row r="165" spans="1:61" ht="18.399999999999999" customHeight="1">
      <c r="A165" s="28" t="s">
        <v>328</v>
      </c>
      <c r="B165" s="28" t="s">
        <v>785</v>
      </c>
      <c r="C165" s="2"/>
      <c r="D165" s="2" t="s">
        <v>785</v>
      </c>
      <c r="E165" s="22">
        <f>G165+I165+K165</f>
        <v>0</v>
      </c>
      <c r="F165" s="22">
        <f t="shared" si="17"/>
        <v>0</v>
      </c>
      <c r="G165" s="1"/>
      <c r="H165" s="22">
        <v>0</v>
      </c>
      <c r="I165" s="1"/>
      <c r="J165" s="22">
        <v>0</v>
      </c>
      <c r="K165" s="1"/>
      <c r="L165" s="22">
        <v>0</v>
      </c>
      <c r="M165" s="28" t="s">
        <v>785</v>
      </c>
      <c r="N165" t="s">
        <v>785</v>
      </c>
      <c r="P165" t="s">
        <v>490</v>
      </c>
      <c r="Q165" t="s">
        <v>187</v>
      </c>
      <c r="R165" t="s">
        <v>785</v>
      </c>
    </row>
    <row r="166" spans="1:61" ht="18.399999999999999" customHeight="1">
      <c r="A166" s="28" t="s">
        <v>760</v>
      </c>
      <c r="B166" s="28" t="s">
        <v>785</v>
      </c>
      <c r="C166" s="2">
        <v>1</v>
      </c>
      <c r="D166" s="2" t="s">
        <v>619</v>
      </c>
      <c r="E166" s="1"/>
      <c r="F166" s="22">
        <f t="shared" si="17"/>
        <v>0</v>
      </c>
      <c r="G166" s="1"/>
      <c r="H166" s="22">
        <f>TRUNC(H167+H168+H169+H170+H171+H172+H173+H174+H175+H176+H177+H178+H179+H180+H181+H182+H183+H184+H185+H186,0)</f>
        <v>0</v>
      </c>
      <c r="I166" s="1"/>
      <c r="J166" s="22">
        <f>TRUNC(J167+J168+J169+J170+J171+J172+J173+J174+J175+J176+J177+J178+J179+J180+J181+J182+J183+J184+J185+J186,0)</f>
        <v>0</v>
      </c>
      <c r="K166" s="1"/>
      <c r="L166" s="22">
        <f>TRUNC(L167+L168+L169+L170+L171+L172+L173+L174+L175+L176+L177+L178+L179+L180+L181+L182+L183+L184+L185+L186,0)</f>
        <v>0</v>
      </c>
      <c r="M166" s="28" t="s">
        <v>785</v>
      </c>
      <c r="N166" t="s">
        <v>785</v>
      </c>
      <c r="O166" t="s">
        <v>462</v>
      </c>
    </row>
    <row r="167" spans="1:61" ht="18.399999999999999" customHeight="1">
      <c r="A167" s="28" t="s">
        <v>25</v>
      </c>
      <c r="B167" s="28" t="s">
        <v>341</v>
      </c>
      <c r="C167" s="2">
        <v>1</v>
      </c>
      <c r="D167" s="2" t="s">
        <v>502</v>
      </c>
      <c r="E167" s="22">
        <f t="shared" ref="E167:E187" si="19">G167+I167+K167</f>
        <v>0</v>
      </c>
      <c r="F167" s="22">
        <f t="shared" ref="F167:F192" si="20">H167+J167+L167</f>
        <v>0</v>
      </c>
      <c r="G167" s="22"/>
      <c r="H167" s="22">
        <f t="shared" ref="H167:H185" si="21">TRUNC(G167*C167,0)</f>
        <v>0</v>
      </c>
      <c r="I167" s="22">
        <v>0</v>
      </c>
      <c r="J167" s="22"/>
      <c r="K167" s="22">
        <v>0</v>
      </c>
      <c r="L167" s="22"/>
      <c r="M167" s="28" t="s">
        <v>545</v>
      </c>
      <c r="N167" t="s">
        <v>785</v>
      </c>
      <c r="P167" t="s">
        <v>102</v>
      </c>
      <c r="Q167" t="s">
        <v>785</v>
      </c>
      <c r="R167" t="s">
        <v>545</v>
      </c>
      <c r="BI167" s="24" t="str">
        <f>HYPERLINK("#자재조서!A32","MZTAA0010 →")</f>
        <v>MZTAA0010 →</v>
      </c>
    </row>
    <row r="168" spans="1:61" ht="18.399999999999999" customHeight="1">
      <c r="A168" s="28" t="s">
        <v>783</v>
      </c>
      <c r="B168" s="28" t="s">
        <v>493</v>
      </c>
      <c r="C168" s="2">
        <v>1</v>
      </c>
      <c r="D168" s="2" t="s">
        <v>502</v>
      </c>
      <c r="E168" s="22">
        <f t="shared" si="19"/>
        <v>0</v>
      </c>
      <c r="F168" s="22">
        <f t="shared" si="20"/>
        <v>0</v>
      </c>
      <c r="G168" s="22"/>
      <c r="H168" s="22">
        <f t="shared" si="21"/>
        <v>0</v>
      </c>
      <c r="I168" s="22">
        <v>0</v>
      </c>
      <c r="J168" s="22"/>
      <c r="K168" s="22">
        <v>0</v>
      </c>
      <c r="L168" s="22"/>
      <c r="M168" s="28" t="s">
        <v>380</v>
      </c>
      <c r="N168" t="s">
        <v>785</v>
      </c>
      <c r="P168" t="s">
        <v>675</v>
      </c>
      <c r="Q168" t="s">
        <v>785</v>
      </c>
      <c r="R168" t="s">
        <v>380</v>
      </c>
      <c r="BI168" s="24" t="str">
        <f>HYPERLINK("#자재조서!A33","MZTAA0020 →")</f>
        <v>MZTAA0020 →</v>
      </c>
    </row>
    <row r="169" spans="1:61" ht="18.399999999999999" customHeight="1">
      <c r="A169" s="28" t="s">
        <v>777</v>
      </c>
      <c r="B169" s="28" t="s">
        <v>163</v>
      </c>
      <c r="C169" s="2">
        <v>1</v>
      </c>
      <c r="D169" s="2" t="s">
        <v>502</v>
      </c>
      <c r="E169" s="22">
        <f t="shared" si="19"/>
        <v>0</v>
      </c>
      <c r="F169" s="22">
        <f t="shared" si="20"/>
        <v>0</v>
      </c>
      <c r="G169" s="22"/>
      <c r="H169" s="22">
        <f t="shared" si="21"/>
        <v>0</v>
      </c>
      <c r="I169" s="22">
        <v>0</v>
      </c>
      <c r="J169" s="22"/>
      <c r="K169" s="22">
        <v>0</v>
      </c>
      <c r="L169" s="22"/>
      <c r="M169" s="28" t="s">
        <v>168</v>
      </c>
      <c r="N169" t="s">
        <v>785</v>
      </c>
      <c r="P169" t="s">
        <v>490</v>
      </c>
      <c r="Q169" t="s">
        <v>785</v>
      </c>
      <c r="R169" t="s">
        <v>168</v>
      </c>
      <c r="BI169" s="24" t="str">
        <f>HYPERLINK("#자재조서!A34","MZTAA0030 →")</f>
        <v>MZTAA0030 →</v>
      </c>
    </row>
    <row r="170" spans="1:61" ht="18.399999999999999" customHeight="1">
      <c r="A170" s="28" t="s">
        <v>267</v>
      </c>
      <c r="B170" s="28" t="s">
        <v>544</v>
      </c>
      <c r="C170" s="2">
        <v>2</v>
      </c>
      <c r="D170" s="2" t="s">
        <v>502</v>
      </c>
      <c r="E170" s="22">
        <f t="shared" si="19"/>
        <v>0</v>
      </c>
      <c r="F170" s="22">
        <f t="shared" si="20"/>
        <v>0</v>
      </c>
      <c r="G170" s="22"/>
      <c r="H170" s="22">
        <f t="shared" si="21"/>
        <v>0</v>
      </c>
      <c r="I170" s="22">
        <v>0</v>
      </c>
      <c r="J170" s="22"/>
      <c r="K170" s="22">
        <v>0</v>
      </c>
      <c r="L170" s="22"/>
      <c r="M170" s="28" t="s">
        <v>745</v>
      </c>
      <c r="N170" t="s">
        <v>785</v>
      </c>
      <c r="P170" t="s">
        <v>291</v>
      </c>
      <c r="Q170" t="s">
        <v>785</v>
      </c>
      <c r="R170" t="s">
        <v>745</v>
      </c>
      <c r="BI170" s="24" t="str">
        <f>HYPERLINK("#자재조서!A35","MZTAA0040 →")</f>
        <v>MZTAA0040 →</v>
      </c>
    </row>
    <row r="171" spans="1:61" ht="18.399999999999999" customHeight="1">
      <c r="A171" s="28" t="s">
        <v>128</v>
      </c>
      <c r="B171" s="28" t="s">
        <v>663</v>
      </c>
      <c r="C171" s="2">
        <v>1</v>
      </c>
      <c r="D171" s="2" t="s">
        <v>502</v>
      </c>
      <c r="E171" s="22">
        <f t="shared" si="19"/>
        <v>0</v>
      </c>
      <c r="F171" s="22">
        <f t="shared" si="20"/>
        <v>0</v>
      </c>
      <c r="G171" s="22"/>
      <c r="H171" s="22">
        <f t="shared" si="21"/>
        <v>0</v>
      </c>
      <c r="I171" s="22">
        <v>0</v>
      </c>
      <c r="J171" s="22"/>
      <c r="K171" s="22">
        <v>0</v>
      </c>
      <c r="L171" s="22"/>
      <c r="M171" s="28" t="s">
        <v>537</v>
      </c>
      <c r="N171" t="s">
        <v>785</v>
      </c>
      <c r="P171" t="s">
        <v>87</v>
      </c>
      <c r="Q171" t="s">
        <v>785</v>
      </c>
      <c r="R171" t="s">
        <v>537</v>
      </c>
      <c r="BI171" s="24" t="str">
        <f>HYPERLINK("#자재조서!A36","MZTAA0050 →")</f>
        <v>MZTAA0050 →</v>
      </c>
    </row>
    <row r="172" spans="1:61" ht="18.399999999999999" customHeight="1">
      <c r="A172" s="28" t="s">
        <v>720</v>
      </c>
      <c r="B172" s="28" t="s">
        <v>663</v>
      </c>
      <c r="C172" s="2">
        <v>1</v>
      </c>
      <c r="D172" s="2" t="s">
        <v>502</v>
      </c>
      <c r="E172" s="22">
        <f t="shared" si="19"/>
        <v>0</v>
      </c>
      <c r="F172" s="22">
        <f t="shared" si="20"/>
        <v>0</v>
      </c>
      <c r="G172" s="22"/>
      <c r="H172" s="22">
        <f t="shared" si="21"/>
        <v>0</v>
      </c>
      <c r="I172" s="22">
        <v>0</v>
      </c>
      <c r="J172" s="22"/>
      <c r="K172" s="22">
        <v>0</v>
      </c>
      <c r="L172" s="22"/>
      <c r="M172" s="28" t="s">
        <v>362</v>
      </c>
      <c r="N172" t="s">
        <v>785</v>
      </c>
      <c r="P172" t="s">
        <v>662</v>
      </c>
      <c r="Q172" t="s">
        <v>785</v>
      </c>
      <c r="R172" t="s">
        <v>362</v>
      </c>
      <c r="BI172" s="24" t="str">
        <f>HYPERLINK("#자재조서!A37","MZTAA0060 →")</f>
        <v>MZTAA0060 →</v>
      </c>
    </row>
    <row r="173" spans="1:61" ht="18.399999999999999" customHeight="1">
      <c r="A173" s="28" t="s">
        <v>757</v>
      </c>
      <c r="B173" s="28" t="s">
        <v>182</v>
      </c>
      <c r="C173" s="2">
        <v>2</v>
      </c>
      <c r="D173" s="2" t="s">
        <v>502</v>
      </c>
      <c r="E173" s="22">
        <f t="shared" si="19"/>
        <v>0</v>
      </c>
      <c r="F173" s="22">
        <f t="shared" si="20"/>
        <v>0</v>
      </c>
      <c r="G173" s="22"/>
      <c r="H173" s="22">
        <f t="shared" si="21"/>
        <v>0</v>
      </c>
      <c r="I173" s="22">
        <v>0</v>
      </c>
      <c r="J173" s="22"/>
      <c r="K173" s="22">
        <v>0</v>
      </c>
      <c r="L173" s="22"/>
      <c r="M173" s="28" t="s">
        <v>154</v>
      </c>
      <c r="N173" t="s">
        <v>785</v>
      </c>
      <c r="P173" t="s">
        <v>477</v>
      </c>
      <c r="Q173" t="s">
        <v>785</v>
      </c>
      <c r="R173" t="s">
        <v>154</v>
      </c>
      <c r="BI173" s="24" t="str">
        <f>HYPERLINK("#자재조서!A38","MZTAA0070 →")</f>
        <v>MZTAA0070 →</v>
      </c>
    </row>
    <row r="174" spans="1:61" ht="18.399999999999999" customHeight="1">
      <c r="A174" s="28" t="s">
        <v>99</v>
      </c>
      <c r="B174" s="28" t="s">
        <v>638</v>
      </c>
      <c r="C174" s="2">
        <v>1</v>
      </c>
      <c r="D174" s="2" t="s">
        <v>502</v>
      </c>
      <c r="E174" s="22">
        <f t="shared" si="19"/>
        <v>0</v>
      </c>
      <c r="F174" s="22">
        <f t="shared" si="20"/>
        <v>0</v>
      </c>
      <c r="G174" s="22"/>
      <c r="H174" s="22">
        <f t="shared" si="21"/>
        <v>0</v>
      </c>
      <c r="I174" s="22">
        <v>0</v>
      </c>
      <c r="J174" s="22"/>
      <c r="K174" s="22">
        <v>0</v>
      </c>
      <c r="L174" s="22"/>
      <c r="M174" s="28" t="s">
        <v>775</v>
      </c>
      <c r="N174" t="s">
        <v>785</v>
      </c>
      <c r="P174" t="s">
        <v>266</v>
      </c>
      <c r="Q174" t="s">
        <v>785</v>
      </c>
      <c r="R174" t="s">
        <v>775</v>
      </c>
      <c r="BI174" s="24" t="str">
        <f>HYPERLINK("#자재조서!A39","MZTAA0080 →")</f>
        <v>MZTAA0080 →</v>
      </c>
    </row>
    <row r="175" spans="1:61" ht="18.399999999999999" customHeight="1">
      <c r="A175" s="28" t="s">
        <v>482</v>
      </c>
      <c r="B175" s="28" t="s">
        <v>311</v>
      </c>
      <c r="C175" s="2">
        <v>2</v>
      </c>
      <c r="D175" s="2" t="s">
        <v>502</v>
      </c>
      <c r="E175" s="22">
        <f t="shared" si="19"/>
        <v>0</v>
      </c>
      <c r="F175" s="22">
        <f t="shared" si="20"/>
        <v>0</v>
      </c>
      <c r="G175" s="22"/>
      <c r="H175" s="22">
        <f t="shared" si="21"/>
        <v>0</v>
      </c>
      <c r="I175" s="22">
        <v>0</v>
      </c>
      <c r="J175" s="22"/>
      <c r="K175" s="22">
        <v>0</v>
      </c>
      <c r="L175" s="22"/>
      <c r="M175" s="28" t="s">
        <v>357</v>
      </c>
      <c r="N175" t="s">
        <v>785</v>
      </c>
      <c r="P175" t="s">
        <v>68</v>
      </c>
      <c r="Q175" t="s">
        <v>785</v>
      </c>
      <c r="R175" t="s">
        <v>357</v>
      </c>
      <c r="BI175" s="24" t="str">
        <f>HYPERLINK("#자재조서!A40","MZTAA0085 →")</f>
        <v>MZTAA0085 →</v>
      </c>
    </row>
    <row r="176" spans="1:61" ht="18.399999999999999" customHeight="1">
      <c r="A176" s="28" t="s">
        <v>20</v>
      </c>
      <c r="B176" s="28" t="s">
        <v>693</v>
      </c>
      <c r="C176" s="2">
        <v>11</v>
      </c>
      <c r="D176" s="2" t="s">
        <v>502</v>
      </c>
      <c r="E176" s="22">
        <f t="shared" si="19"/>
        <v>0</v>
      </c>
      <c r="F176" s="22">
        <f t="shared" si="20"/>
        <v>0</v>
      </c>
      <c r="G176" s="22"/>
      <c r="H176" s="22">
        <f t="shared" si="21"/>
        <v>0</v>
      </c>
      <c r="I176" s="22">
        <v>0</v>
      </c>
      <c r="J176" s="22"/>
      <c r="K176" s="22">
        <v>0</v>
      </c>
      <c r="L176" s="22"/>
      <c r="M176" s="28" t="s">
        <v>569</v>
      </c>
      <c r="N176" t="s">
        <v>785</v>
      </c>
      <c r="P176" t="s">
        <v>65</v>
      </c>
      <c r="Q176" t="s">
        <v>785</v>
      </c>
      <c r="R176" t="s">
        <v>569</v>
      </c>
      <c r="BI176" s="24" t="str">
        <f>HYPERLINK("#자재조서!A41","MZTAA0090 →")</f>
        <v>MZTAA0090 →</v>
      </c>
    </row>
    <row r="177" spans="1:61" ht="18.399999999999999" customHeight="1">
      <c r="A177" s="28" t="s">
        <v>361</v>
      </c>
      <c r="B177" s="28" t="s">
        <v>318</v>
      </c>
      <c r="C177" s="2">
        <v>5</v>
      </c>
      <c r="D177" s="2" t="s">
        <v>502</v>
      </c>
      <c r="E177" s="22">
        <f t="shared" si="19"/>
        <v>0</v>
      </c>
      <c r="F177" s="22">
        <f t="shared" si="20"/>
        <v>0</v>
      </c>
      <c r="G177" s="22"/>
      <c r="H177" s="22">
        <f t="shared" si="21"/>
        <v>0</v>
      </c>
      <c r="I177" s="22">
        <v>0</v>
      </c>
      <c r="J177" s="22"/>
      <c r="K177" s="22">
        <v>0</v>
      </c>
      <c r="L177" s="22"/>
      <c r="M177" s="28" t="s">
        <v>583</v>
      </c>
      <c r="N177" t="s">
        <v>785</v>
      </c>
      <c r="P177" t="s">
        <v>257</v>
      </c>
      <c r="Q177" t="s">
        <v>785</v>
      </c>
      <c r="R177" t="s">
        <v>583</v>
      </c>
      <c r="BI177" s="24" t="str">
        <f>HYPERLINK("#자재조서!A42","MZTAA0100 →")</f>
        <v>MZTAA0100 →</v>
      </c>
    </row>
    <row r="178" spans="1:61" ht="18.399999999999999" customHeight="1">
      <c r="A178" s="28" t="s">
        <v>172</v>
      </c>
      <c r="B178" s="28" t="s">
        <v>95</v>
      </c>
      <c r="C178" s="2">
        <v>1</v>
      </c>
      <c r="D178" s="2" t="s">
        <v>502</v>
      </c>
      <c r="E178" s="22">
        <f t="shared" si="19"/>
        <v>0</v>
      </c>
      <c r="F178" s="22">
        <f t="shared" si="20"/>
        <v>0</v>
      </c>
      <c r="G178" s="22"/>
      <c r="H178" s="22">
        <f t="shared" si="21"/>
        <v>0</v>
      </c>
      <c r="I178" s="22">
        <v>0</v>
      </c>
      <c r="J178" s="22"/>
      <c r="K178" s="22">
        <v>0</v>
      </c>
      <c r="L178" s="22"/>
      <c r="M178" s="28" t="s">
        <v>411</v>
      </c>
      <c r="N178" t="s">
        <v>785</v>
      </c>
      <c r="P178" t="s">
        <v>471</v>
      </c>
      <c r="Q178" t="s">
        <v>785</v>
      </c>
      <c r="R178" t="s">
        <v>411</v>
      </c>
      <c r="BI178" s="24" t="str">
        <f>HYPERLINK("#자재조서!A43","MZTAA0110 →")</f>
        <v>MZTAA0110 →</v>
      </c>
    </row>
    <row r="179" spans="1:61" ht="18.399999999999999" customHeight="1">
      <c r="A179" s="28" t="s">
        <v>650</v>
      </c>
      <c r="B179" s="28" t="s">
        <v>436</v>
      </c>
      <c r="C179" s="2">
        <v>1</v>
      </c>
      <c r="D179" s="2" t="s">
        <v>502</v>
      </c>
      <c r="E179" s="22">
        <f t="shared" si="19"/>
        <v>0</v>
      </c>
      <c r="F179" s="22">
        <f t="shared" si="20"/>
        <v>0</v>
      </c>
      <c r="G179" s="22"/>
      <c r="H179" s="22">
        <f t="shared" si="21"/>
        <v>0</v>
      </c>
      <c r="I179" s="22">
        <v>0</v>
      </c>
      <c r="J179" s="22"/>
      <c r="K179" s="22">
        <v>0</v>
      </c>
      <c r="L179" s="22"/>
      <c r="M179" s="28" t="s">
        <v>199</v>
      </c>
      <c r="N179" t="s">
        <v>785</v>
      </c>
      <c r="P179" t="s">
        <v>649</v>
      </c>
      <c r="Q179" t="s">
        <v>785</v>
      </c>
      <c r="R179" t="s">
        <v>199</v>
      </c>
      <c r="BI179" s="24" t="str">
        <f>HYPERLINK("#자재조서!A44","MZTAA0120 →")</f>
        <v>MZTAA0120 →</v>
      </c>
    </row>
    <row r="180" spans="1:61" ht="18.399999999999999" customHeight="1">
      <c r="A180" s="28" t="s">
        <v>59</v>
      </c>
      <c r="B180" s="28" t="s">
        <v>687</v>
      </c>
      <c r="C180" s="2">
        <v>1</v>
      </c>
      <c r="D180" s="2" t="s">
        <v>502</v>
      </c>
      <c r="E180" s="22">
        <f t="shared" si="19"/>
        <v>0</v>
      </c>
      <c r="F180" s="22">
        <f t="shared" si="20"/>
        <v>0</v>
      </c>
      <c r="G180" s="22"/>
      <c r="H180" s="22">
        <f t="shared" si="21"/>
        <v>0</v>
      </c>
      <c r="I180" s="22">
        <v>0</v>
      </c>
      <c r="J180" s="22"/>
      <c r="K180" s="22">
        <v>0</v>
      </c>
      <c r="L180" s="22"/>
      <c r="M180" s="28" t="s">
        <v>7</v>
      </c>
      <c r="N180" t="s">
        <v>785</v>
      </c>
      <c r="P180" t="s">
        <v>46</v>
      </c>
      <c r="Q180" t="s">
        <v>785</v>
      </c>
      <c r="R180" t="s">
        <v>7</v>
      </c>
      <c r="BI180" s="24" t="str">
        <f>HYPERLINK("#자재조서!A45","MZTAA0130 →")</f>
        <v>MZTAA0130 →</v>
      </c>
    </row>
    <row r="181" spans="1:61" ht="18.399999999999999" customHeight="1">
      <c r="A181" s="28" t="s">
        <v>259</v>
      </c>
      <c r="B181" s="28" t="s">
        <v>241</v>
      </c>
      <c r="C181" s="2">
        <v>1</v>
      </c>
      <c r="D181" s="2" t="s">
        <v>502</v>
      </c>
      <c r="E181" s="22">
        <f t="shared" si="19"/>
        <v>0</v>
      </c>
      <c r="F181" s="22">
        <f t="shared" si="20"/>
        <v>0</v>
      </c>
      <c r="G181" s="22"/>
      <c r="H181" s="22">
        <f t="shared" si="21"/>
        <v>0</v>
      </c>
      <c r="I181" s="22">
        <v>0</v>
      </c>
      <c r="J181" s="22"/>
      <c r="K181" s="22">
        <v>0</v>
      </c>
      <c r="L181" s="22"/>
      <c r="M181" s="28" t="s">
        <v>595</v>
      </c>
      <c r="N181" t="s">
        <v>785</v>
      </c>
      <c r="P181" t="s">
        <v>246</v>
      </c>
      <c r="Q181" t="s">
        <v>785</v>
      </c>
      <c r="R181" t="s">
        <v>595</v>
      </c>
      <c r="BI181" s="24" t="str">
        <f>HYPERLINK("#자재조서!A46","MZTAA0140 →")</f>
        <v>MZTAA0140 →</v>
      </c>
    </row>
    <row r="182" spans="1:61" ht="18.399999999999999" customHeight="1">
      <c r="A182" s="28" t="s">
        <v>461</v>
      </c>
      <c r="B182" s="28" t="s">
        <v>345</v>
      </c>
      <c r="C182" s="2">
        <v>1</v>
      </c>
      <c r="D182" s="2" t="s">
        <v>502</v>
      </c>
      <c r="E182" s="22">
        <f t="shared" si="19"/>
        <v>0</v>
      </c>
      <c r="F182" s="22">
        <f t="shared" si="20"/>
        <v>0</v>
      </c>
      <c r="G182" s="22"/>
      <c r="H182" s="22">
        <f t="shared" si="21"/>
        <v>0</v>
      </c>
      <c r="I182" s="22">
        <v>0</v>
      </c>
      <c r="J182" s="22"/>
      <c r="K182" s="22">
        <v>0</v>
      </c>
      <c r="L182" s="22"/>
      <c r="M182" s="28" t="s">
        <v>423</v>
      </c>
      <c r="N182" t="s">
        <v>785</v>
      </c>
      <c r="P182" t="s">
        <v>463</v>
      </c>
      <c r="Q182" t="s">
        <v>785</v>
      </c>
      <c r="R182" t="s">
        <v>423</v>
      </c>
      <c r="BI182" s="24" t="str">
        <f>HYPERLINK("#자재조서!A47","MZTAA0150 →")</f>
        <v>MZTAA0150 →</v>
      </c>
    </row>
    <row r="183" spans="1:61" ht="18.399999999999999" customHeight="1">
      <c r="A183" s="28" t="s">
        <v>641</v>
      </c>
      <c r="B183" s="28" t="s">
        <v>615</v>
      </c>
      <c r="C183" s="2">
        <v>1</v>
      </c>
      <c r="D183" s="2" t="s">
        <v>502</v>
      </c>
      <c r="E183" s="22">
        <f t="shared" si="19"/>
        <v>0</v>
      </c>
      <c r="F183" s="22">
        <f t="shared" si="20"/>
        <v>0</v>
      </c>
      <c r="G183" s="22"/>
      <c r="H183" s="22">
        <f t="shared" si="21"/>
        <v>0</v>
      </c>
      <c r="I183" s="22">
        <v>0</v>
      </c>
      <c r="J183" s="22"/>
      <c r="K183" s="22">
        <v>0</v>
      </c>
      <c r="L183" s="22"/>
      <c r="M183" s="28" t="s">
        <v>219</v>
      </c>
      <c r="N183" t="s">
        <v>785</v>
      </c>
      <c r="P183" t="s">
        <v>633</v>
      </c>
      <c r="Q183" t="s">
        <v>785</v>
      </c>
      <c r="R183" t="s">
        <v>219</v>
      </c>
      <c r="BI183" s="24" t="str">
        <f>HYPERLINK("#자재조서!A48","MZTAA0160 →")</f>
        <v>MZTAA0160 →</v>
      </c>
    </row>
    <row r="184" spans="1:61" ht="18.399999999999999" customHeight="1">
      <c r="A184" s="28" t="s">
        <v>44</v>
      </c>
      <c r="B184" s="28" t="s">
        <v>108</v>
      </c>
      <c r="C184" s="2">
        <v>1</v>
      </c>
      <c r="D184" s="2" t="s">
        <v>502</v>
      </c>
      <c r="E184" s="22">
        <f t="shared" si="19"/>
        <v>0</v>
      </c>
      <c r="F184" s="22">
        <f t="shared" si="20"/>
        <v>0</v>
      </c>
      <c r="G184" s="22"/>
      <c r="H184" s="22">
        <f t="shared" si="21"/>
        <v>0</v>
      </c>
      <c r="I184" s="22">
        <v>0</v>
      </c>
      <c r="J184" s="22"/>
      <c r="K184" s="22">
        <v>0</v>
      </c>
      <c r="L184" s="22"/>
      <c r="M184" s="28" t="s">
        <v>18</v>
      </c>
      <c r="N184" t="s">
        <v>785</v>
      </c>
      <c r="P184" t="s">
        <v>100</v>
      </c>
      <c r="Q184" t="s">
        <v>785</v>
      </c>
      <c r="R184" t="s">
        <v>18</v>
      </c>
      <c r="BI184" s="24" t="str">
        <f>HYPERLINK("#자재조서!A49","MZTAA0170 →")</f>
        <v>MZTAA0170 →</v>
      </c>
    </row>
    <row r="185" spans="1:61" ht="18.399999999999999" customHeight="1">
      <c r="A185" s="28" t="s">
        <v>747</v>
      </c>
      <c r="B185" s="28" t="s">
        <v>635</v>
      </c>
      <c r="C185" s="2">
        <v>1</v>
      </c>
      <c r="D185" s="2" t="s">
        <v>502</v>
      </c>
      <c r="E185" s="22">
        <f t="shared" si="19"/>
        <v>0</v>
      </c>
      <c r="F185" s="22">
        <f t="shared" si="20"/>
        <v>0</v>
      </c>
      <c r="G185" s="22"/>
      <c r="H185" s="22">
        <f t="shared" si="21"/>
        <v>0</v>
      </c>
      <c r="I185" s="22">
        <v>0</v>
      </c>
      <c r="J185" s="22"/>
      <c r="K185" s="22">
        <v>0</v>
      </c>
      <c r="L185" s="22"/>
      <c r="M185" s="28" t="s">
        <v>607</v>
      </c>
      <c r="N185" t="s">
        <v>785</v>
      </c>
      <c r="P185" t="s">
        <v>293</v>
      </c>
      <c r="Q185" t="s">
        <v>785</v>
      </c>
      <c r="R185" t="s">
        <v>607</v>
      </c>
      <c r="AA185" s="23" t="s">
        <v>249</v>
      </c>
      <c r="AB185" s="5">
        <f>(내역서!H167+내역서!H168+내역서!H169+내역서!H170+내역서!H171+내역서!H172+내역서!H173+내역서!H174+내역서!H175+내역서!H176+내역서!H177+내역서!H178+내역서!H179+내역서!H180+내역서!H181+내역서!H182+내역서!H183+내역서!H184+내역서!H185)*0.54/100+758</f>
        <v>758</v>
      </c>
      <c r="AC185" s="23" t="s">
        <v>429</v>
      </c>
      <c r="AD185" s="4">
        <f>$AB185</f>
        <v>758</v>
      </c>
      <c r="BI185" s="24" t="str">
        <f>HYPERLINK("#자재조서!A50","MZTAA0180 →")</f>
        <v>MZTAA0180 →</v>
      </c>
    </row>
    <row r="186" spans="1:61" ht="18.399999999999999" customHeight="1">
      <c r="A186" s="28" t="s">
        <v>378</v>
      </c>
      <c r="B186" s="28" t="s">
        <v>503</v>
      </c>
      <c r="C186" s="2">
        <v>1</v>
      </c>
      <c r="D186" s="2" t="s">
        <v>619</v>
      </c>
      <c r="E186" s="22">
        <f t="shared" si="19"/>
        <v>0</v>
      </c>
      <c r="F186" s="22">
        <f t="shared" si="20"/>
        <v>0</v>
      </c>
      <c r="G186" s="1"/>
      <c r="H186" s="22">
        <v>0</v>
      </c>
      <c r="I186" s="1"/>
      <c r="J186" s="22">
        <v>0</v>
      </c>
      <c r="K186" s="1"/>
      <c r="L186" s="22">
        <f>TRUNC(((H167+H168+H169+H170+H171+H172+H173+H174+H175+H176+H177+H178+H179+H180+H181+H182+H183+H184+H185)*0.54/100),0)</f>
        <v>0</v>
      </c>
      <c r="M186" s="28" t="s">
        <v>785</v>
      </c>
      <c r="N186" t="s">
        <v>785</v>
      </c>
      <c r="P186" t="s">
        <v>236</v>
      </c>
      <c r="Q186" t="s">
        <v>785</v>
      </c>
      <c r="R186" t="s">
        <v>651</v>
      </c>
      <c r="X186" t="s">
        <v>504</v>
      </c>
    </row>
    <row r="187" spans="1:61" ht="18.399999999999999" customHeight="1">
      <c r="A187" s="28" t="s">
        <v>328</v>
      </c>
      <c r="B187" s="28" t="s">
        <v>785</v>
      </c>
      <c r="C187" s="2"/>
      <c r="D187" s="2" t="s">
        <v>785</v>
      </c>
      <c r="E187" s="22">
        <f t="shared" si="19"/>
        <v>0</v>
      </c>
      <c r="F187" s="22">
        <f t="shared" si="20"/>
        <v>0</v>
      </c>
      <c r="G187" s="1"/>
      <c r="H187" s="22">
        <v>0</v>
      </c>
      <c r="I187" s="1"/>
      <c r="J187" s="22">
        <v>0</v>
      </c>
      <c r="K187" s="1"/>
      <c r="L187" s="22">
        <v>0</v>
      </c>
      <c r="M187" s="28" t="s">
        <v>785</v>
      </c>
      <c r="N187" t="s">
        <v>785</v>
      </c>
      <c r="P187" t="s">
        <v>40</v>
      </c>
      <c r="Q187" t="s">
        <v>507</v>
      </c>
      <c r="R187" t="s">
        <v>785</v>
      </c>
    </row>
    <row r="188" spans="1:61" ht="18.399999999999999" customHeight="1">
      <c r="A188" s="28" t="s">
        <v>413</v>
      </c>
      <c r="B188" s="28" t="s">
        <v>785</v>
      </c>
      <c r="C188" s="2">
        <v>1</v>
      </c>
      <c r="D188" s="2" t="s">
        <v>619</v>
      </c>
      <c r="E188" s="1"/>
      <c r="F188" s="22">
        <f t="shared" si="20"/>
        <v>0</v>
      </c>
      <c r="G188" s="1"/>
      <c r="H188" s="22">
        <f>TRUNC(H189+H190+H191+H192,0)</f>
        <v>0</v>
      </c>
      <c r="I188" s="1"/>
      <c r="J188" s="22">
        <f>TRUNC(J189+J190+J191+J192,0)</f>
        <v>0</v>
      </c>
      <c r="K188" s="1"/>
      <c r="L188" s="22">
        <f>TRUNC(L189+L190+L191+L192,0)</f>
        <v>0</v>
      </c>
      <c r="M188" s="28" t="s">
        <v>785</v>
      </c>
      <c r="N188" t="s">
        <v>785</v>
      </c>
      <c r="O188" t="s">
        <v>126</v>
      </c>
    </row>
    <row r="189" spans="1:61" ht="18.399999999999999" customHeight="1">
      <c r="A189" s="28" t="s">
        <v>587</v>
      </c>
      <c r="B189" s="28" t="s">
        <v>271</v>
      </c>
      <c r="C189" s="2">
        <v>930</v>
      </c>
      <c r="D189" s="2" t="s">
        <v>574</v>
      </c>
      <c r="E189" s="22">
        <f t="shared" ref="E189:E192" si="22">G189+I189+K189</f>
        <v>0</v>
      </c>
      <c r="F189" s="22">
        <f t="shared" si="20"/>
        <v>0</v>
      </c>
      <c r="G189" s="22"/>
      <c r="H189" s="22">
        <f>TRUNC(G189*C189,0)</f>
        <v>0</v>
      </c>
      <c r="I189" s="22">
        <v>0</v>
      </c>
      <c r="J189" s="22"/>
      <c r="K189" s="22">
        <v>0</v>
      </c>
      <c r="L189" s="22"/>
      <c r="M189" s="28" t="s">
        <v>552</v>
      </c>
      <c r="N189" t="s">
        <v>785</v>
      </c>
      <c r="P189" t="s">
        <v>102</v>
      </c>
      <c r="Q189" t="s">
        <v>785</v>
      </c>
      <c r="R189" t="s">
        <v>552</v>
      </c>
      <c r="BI189" s="24" t="str">
        <f>HYPERLINK("#자재조서!A28","MXAB0010 →")</f>
        <v>MXAB0010 →</v>
      </c>
    </row>
    <row r="190" spans="1:61" ht="18.399999999999999" customHeight="1">
      <c r="A190" s="28" t="s">
        <v>224</v>
      </c>
      <c r="B190" s="28" t="s">
        <v>76</v>
      </c>
      <c r="C190" s="2">
        <v>191</v>
      </c>
      <c r="D190" s="2" t="s">
        <v>502</v>
      </c>
      <c r="E190" s="22">
        <f t="shared" si="22"/>
        <v>0</v>
      </c>
      <c r="F190" s="22">
        <f t="shared" si="20"/>
        <v>0</v>
      </c>
      <c r="G190" s="22"/>
      <c r="H190" s="22">
        <f>TRUNC(G190*C190,0)</f>
        <v>0</v>
      </c>
      <c r="I190" s="22">
        <v>0</v>
      </c>
      <c r="J190" s="22"/>
      <c r="K190" s="22">
        <v>0</v>
      </c>
      <c r="L190" s="22"/>
      <c r="M190" s="28" t="s">
        <v>400</v>
      </c>
      <c r="N190" t="s">
        <v>785</v>
      </c>
      <c r="P190" t="s">
        <v>675</v>
      </c>
      <c r="Q190" t="s">
        <v>785</v>
      </c>
      <c r="R190" t="s">
        <v>400</v>
      </c>
      <c r="BI190" s="24" t="str">
        <f>HYPERLINK("#자재조서!A29","MXAB0045 →")</f>
        <v>MXAB0045 →</v>
      </c>
    </row>
    <row r="191" spans="1:61" ht="18.399999999999999" customHeight="1">
      <c r="A191" s="28" t="s">
        <v>224</v>
      </c>
      <c r="B191" s="28" t="s">
        <v>753</v>
      </c>
      <c r="C191" s="2">
        <v>145</v>
      </c>
      <c r="D191" s="2" t="s">
        <v>502</v>
      </c>
      <c r="E191" s="22">
        <f t="shared" si="22"/>
        <v>0</v>
      </c>
      <c r="F191" s="22">
        <f t="shared" si="20"/>
        <v>0</v>
      </c>
      <c r="G191" s="22"/>
      <c r="H191" s="22">
        <f>TRUNC(G191*C191,0)</f>
        <v>0</v>
      </c>
      <c r="I191" s="22">
        <v>0</v>
      </c>
      <c r="J191" s="22"/>
      <c r="K191" s="22">
        <v>0</v>
      </c>
      <c r="L191" s="22"/>
      <c r="M191" s="28" t="s">
        <v>591</v>
      </c>
      <c r="N191" t="s">
        <v>785</v>
      </c>
      <c r="P191" t="s">
        <v>490</v>
      </c>
      <c r="Q191" t="s">
        <v>785</v>
      </c>
      <c r="R191" t="s">
        <v>591</v>
      </c>
      <c r="AA191" s="23" t="s">
        <v>249</v>
      </c>
      <c r="AB191" s="5">
        <f>(내역서!H189+내역서!H190+내역서!H191)*0.54/100+544</f>
        <v>544</v>
      </c>
      <c r="AC191" s="23" t="s">
        <v>429</v>
      </c>
      <c r="AD191" s="4">
        <f>$AB191</f>
        <v>544</v>
      </c>
      <c r="BI191" s="24" t="str">
        <f>HYPERLINK("#자재조서!A30","MXAB0046 →")</f>
        <v>MXAB0046 →</v>
      </c>
    </row>
    <row r="192" spans="1:61" ht="18.399999999999999" customHeight="1">
      <c r="A192" s="28" t="s">
        <v>378</v>
      </c>
      <c r="B192" s="28" t="s">
        <v>503</v>
      </c>
      <c r="C192" s="2">
        <v>1</v>
      </c>
      <c r="D192" s="2" t="s">
        <v>619</v>
      </c>
      <c r="E192" s="22">
        <f t="shared" si="22"/>
        <v>0</v>
      </c>
      <c r="F192" s="22">
        <f t="shared" si="20"/>
        <v>0</v>
      </c>
      <c r="G192" s="1"/>
      <c r="H192" s="22">
        <v>0</v>
      </c>
      <c r="I192" s="1"/>
      <c r="J192" s="22">
        <v>0</v>
      </c>
      <c r="K192" s="1"/>
      <c r="L192" s="22">
        <f>TRUNC(((H189+H190+H191)*0.54/100),0)</f>
        <v>0</v>
      </c>
      <c r="M192" s="28" t="s">
        <v>785</v>
      </c>
      <c r="N192" t="s">
        <v>785</v>
      </c>
      <c r="P192" t="s">
        <v>291</v>
      </c>
      <c r="Q192" t="s">
        <v>785</v>
      </c>
      <c r="R192" t="s">
        <v>651</v>
      </c>
      <c r="X192" t="s">
        <v>178</v>
      </c>
    </row>
  </sheetData>
  <mergeCells count="9">
    <mergeCell ref="K2:L2"/>
    <mergeCell ref="E2:F2"/>
    <mergeCell ref="M2:M3"/>
    <mergeCell ref="A2:A3"/>
    <mergeCell ref="B2:B3"/>
    <mergeCell ref="C2:C3"/>
    <mergeCell ref="D2:D3"/>
    <mergeCell ref="G2:H2"/>
    <mergeCell ref="I2:J2"/>
  </mergeCells>
  <phoneticPr fontId="3" type="noConversion"/>
  <pageMargins left="0.59055118110236227" right="0.31496062992125984" top="0.59055118110236227" bottom="0.3149606299212598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B2" sqref="B2"/>
    </sheetView>
  </sheetViews>
  <sheetFormatPr defaultRowHeight="18.399999999999999" customHeight="1"/>
  <cols>
    <col min="1" max="1" width="25" customWidth="1"/>
    <col min="2" max="2" width="10" customWidth="1"/>
    <col min="3" max="3" width="25" customWidth="1"/>
    <col min="4" max="4" width="30" customWidth="1"/>
    <col min="5" max="5" width="70" customWidth="1"/>
  </cols>
  <sheetData>
    <row r="1" spans="1:5" ht="18.399999999999999" customHeight="1">
      <c r="A1" t="s">
        <v>580</v>
      </c>
    </row>
    <row r="2" spans="1:5" ht="18.399999999999999" customHeight="1">
      <c r="A2" s="11" t="s">
        <v>77</v>
      </c>
      <c r="B2" s="12" t="s">
        <v>588</v>
      </c>
      <c r="C2" s="12" t="s">
        <v>146</v>
      </c>
      <c r="D2" s="17" t="s">
        <v>185</v>
      </c>
      <c r="E2" s="13" t="s">
        <v>21</v>
      </c>
    </row>
    <row r="3" spans="1:5" ht="18.399999999999999" customHeight="1">
      <c r="A3" s="6" t="s">
        <v>562</v>
      </c>
      <c r="B3" s="2" t="s">
        <v>772</v>
      </c>
      <c r="C3" s="2">
        <v>75</v>
      </c>
      <c r="D3" s="18" t="s">
        <v>260</v>
      </c>
      <c r="E3" s="7" t="s">
        <v>672</v>
      </c>
    </row>
    <row r="4" spans="1:5" ht="18.399999999999999" customHeight="1">
      <c r="A4" s="6" t="s">
        <v>351</v>
      </c>
      <c r="B4" s="2" t="s">
        <v>772</v>
      </c>
      <c r="C4" s="2">
        <v>50</v>
      </c>
      <c r="D4" s="18" t="s">
        <v>572</v>
      </c>
      <c r="E4" s="7" t="s">
        <v>365</v>
      </c>
    </row>
    <row r="5" spans="1:5" ht="18.399999999999999" customHeight="1">
      <c r="A5" s="6" t="s">
        <v>375</v>
      </c>
      <c r="B5" s="2" t="s">
        <v>772</v>
      </c>
      <c r="C5" s="2">
        <v>20</v>
      </c>
      <c r="D5" s="18" t="s">
        <v>48</v>
      </c>
      <c r="E5" s="7" t="s">
        <v>365</v>
      </c>
    </row>
    <row r="6" spans="1:5" ht="18.399999999999999" customHeight="1">
      <c r="A6" s="6" t="s">
        <v>548</v>
      </c>
      <c r="B6" s="2" t="s">
        <v>772</v>
      </c>
      <c r="C6" s="2">
        <v>0</v>
      </c>
      <c r="D6" s="18" t="s">
        <v>425</v>
      </c>
      <c r="E6" s="7" t="s">
        <v>365</v>
      </c>
    </row>
    <row r="7" spans="1:5" ht="18.399999999999999" customHeight="1">
      <c r="A7" s="6" t="s">
        <v>92</v>
      </c>
      <c r="B7" s="2" t="s">
        <v>772</v>
      </c>
      <c r="C7" s="2">
        <v>30</v>
      </c>
      <c r="D7" s="18" t="s">
        <v>388</v>
      </c>
      <c r="E7" s="7" t="s">
        <v>365</v>
      </c>
    </row>
    <row r="8" spans="1:5" ht="18.399999999999999" customHeight="1">
      <c r="A8" s="6" t="s">
        <v>379</v>
      </c>
      <c r="B8" s="2" t="s">
        <v>772</v>
      </c>
      <c r="C8" s="2">
        <v>59</v>
      </c>
      <c r="D8" s="18" t="s">
        <v>19</v>
      </c>
      <c r="E8" s="7" t="s">
        <v>365</v>
      </c>
    </row>
    <row r="9" spans="1:5" ht="18.399999999999999" customHeight="1">
      <c r="A9" s="6" t="s">
        <v>220</v>
      </c>
      <c r="B9" s="2" t="s">
        <v>772</v>
      </c>
      <c r="C9" s="2">
        <v>100</v>
      </c>
      <c r="D9" s="18" t="s">
        <v>508</v>
      </c>
      <c r="E9" s="7" t="s">
        <v>365</v>
      </c>
    </row>
    <row r="10" spans="1:5" ht="18.399999999999999" customHeight="1">
      <c r="A10" s="6" t="s">
        <v>740</v>
      </c>
      <c r="B10" s="2" t="s">
        <v>772</v>
      </c>
      <c r="C10" s="2">
        <v>100</v>
      </c>
      <c r="D10" s="18" t="s">
        <v>205</v>
      </c>
      <c r="E10" s="7" t="s">
        <v>365</v>
      </c>
    </row>
    <row r="11" spans="1:5" ht="18.399999999999999" customHeight="1">
      <c r="A11" s="6" t="s">
        <v>42</v>
      </c>
      <c r="B11" s="2" t="s">
        <v>772</v>
      </c>
      <c r="C11" s="2">
        <v>4.99</v>
      </c>
      <c r="D11" s="18" t="s">
        <v>749</v>
      </c>
      <c r="E11" s="7" t="s">
        <v>365</v>
      </c>
    </row>
    <row r="12" spans="1:5" ht="18.399999999999999" customHeight="1">
      <c r="A12" s="6" t="s">
        <v>366</v>
      </c>
      <c r="B12" s="2" t="s">
        <v>772</v>
      </c>
      <c r="C12" s="2">
        <v>74</v>
      </c>
      <c r="D12" s="18" t="s">
        <v>314</v>
      </c>
      <c r="E12" s="7" t="s">
        <v>365</v>
      </c>
    </row>
    <row r="13" spans="1:5" ht="18.399999999999999" customHeight="1">
      <c r="A13" s="6" t="s">
        <v>52</v>
      </c>
      <c r="B13" s="2" t="s">
        <v>772</v>
      </c>
      <c r="C13" s="2">
        <v>56</v>
      </c>
      <c r="D13" s="18" t="s">
        <v>196</v>
      </c>
      <c r="E13" s="7" t="s">
        <v>365</v>
      </c>
    </row>
    <row r="14" spans="1:5" ht="18.399999999999999" customHeight="1">
      <c r="A14" s="6" t="s">
        <v>0</v>
      </c>
      <c r="B14" s="2" t="s">
        <v>772</v>
      </c>
      <c r="C14" s="2">
        <v>8.0299999999999994</v>
      </c>
      <c r="D14" s="18" t="s">
        <v>190</v>
      </c>
      <c r="E14" s="7" t="s">
        <v>365</v>
      </c>
    </row>
    <row r="15" spans="1:5" ht="18.399999999999999" customHeight="1">
      <c r="A15" s="6" t="s">
        <v>660</v>
      </c>
      <c r="B15" s="2" t="s">
        <v>772</v>
      </c>
      <c r="C15" s="2">
        <v>80.2</v>
      </c>
      <c r="D15" s="18" t="s">
        <v>30</v>
      </c>
      <c r="E15" s="7" t="s">
        <v>365</v>
      </c>
    </row>
    <row r="16" spans="1:5" ht="18.399999999999999" customHeight="1">
      <c r="A16" s="6" t="s">
        <v>276</v>
      </c>
      <c r="B16" s="2" t="s">
        <v>772</v>
      </c>
      <c r="C16" s="2">
        <v>59</v>
      </c>
      <c r="D16" s="18" t="s">
        <v>370</v>
      </c>
      <c r="E16" s="7" t="s">
        <v>365</v>
      </c>
    </row>
    <row r="17" spans="1:5" ht="18.399999999999999" customHeight="1">
      <c r="A17" s="6" t="s">
        <v>139</v>
      </c>
      <c r="B17" s="2" t="s">
        <v>772</v>
      </c>
      <c r="C17" s="2">
        <v>100</v>
      </c>
      <c r="D17" s="18" t="s">
        <v>346</v>
      </c>
      <c r="E17" s="7" t="s">
        <v>365</v>
      </c>
    </row>
    <row r="18" spans="1:5" ht="18.399999999999999" customHeight="1">
      <c r="A18" s="6" t="s">
        <v>739</v>
      </c>
      <c r="B18" s="2" t="s">
        <v>772</v>
      </c>
      <c r="C18" s="2">
        <v>1.048</v>
      </c>
      <c r="D18" s="18" t="s">
        <v>781</v>
      </c>
      <c r="E18" s="7" t="s">
        <v>365</v>
      </c>
    </row>
    <row r="19" spans="1:5" ht="18.399999999999999" customHeight="1">
      <c r="A19" s="6" t="s">
        <v>654</v>
      </c>
      <c r="B19" s="2" t="s">
        <v>772</v>
      </c>
      <c r="C19" s="2">
        <v>1.048</v>
      </c>
      <c r="D19" s="18" t="s">
        <v>247</v>
      </c>
      <c r="E19" s="7" t="s">
        <v>365</v>
      </c>
    </row>
    <row r="20" spans="1:5" ht="18.399999999999999" customHeight="1">
      <c r="A20" s="6" t="s">
        <v>253</v>
      </c>
      <c r="B20" s="2" t="s">
        <v>772</v>
      </c>
      <c r="C20" s="2">
        <v>1</v>
      </c>
      <c r="D20" s="18" t="s">
        <v>223</v>
      </c>
      <c r="E20" s="7" t="s">
        <v>255</v>
      </c>
    </row>
    <row r="21" spans="1:5" ht="18.399999999999999" customHeight="1">
      <c r="A21" s="6" t="s">
        <v>609</v>
      </c>
      <c r="B21" s="2" t="s">
        <v>772</v>
      </c>
      <c r="C21" s="2">
        <v>1.0386</v>
      </c>
      <c r="D21" s="18" t="s">
        <v>41</v>
      </c>
      <c r="E21" s="7" t="s">
        <v>672</v>
      </c>
    </row>
    <row r="22" spans="1:5" ht="18.399999999999999" customHeight="1">
      <c r="A22" s="6" t="s">
        <v>84</v>
      </c>
      <c r="B22" s="2" t="s">
        <v>772</v>
      </c>
      <c r="C22" s="2">
        <v>9.51</v>
      </c>
      <c r="D22" s="18" t="s">
        <v>329</v>
      </c>
      <c r="E22" s="7" t="s">
        <v>365</v>
      </c>
    </row>
    <row r="23" spans="1:5" ht="18.399999999999999" customHeight="1">
      <c r="A23" s="6" t="s">
        <v>475</v>
      </c>
      <c r="B23" s="2" t="s">
        <v>772</v>
      </c>
      <c r="C23" s="2">
        <v>100</v>
      </c>
      <c r="D23" s="18" t="s">
        <v>494</v>
      </c>
      <c r="E23" s="7" t="s">
        <v>365</v>
      </c>
    </row>
    <row r="24" spans="1:5" ht="18.399999999999999" customHeight="1">
      <c r="A24" s="6" t="s">
        <v>159</v>
      </c>
      <c r="B24" s="2" t="s">
        <v>772</v>
      </c>
      <c r="C24" s="2">
        <v>100</v>
      </c>
      <c r="D24" s="18" t="s">
        <v>478</v>
      </c>
      <c r="E24" s="7" t="s">
        <v>365</v>
      </c>
    </row>
    <row r="25" spans="1:5" ht="18.399999999999999" customHeight="1">
      <c r="A25" s="6" t="s">
        <v>718</v>
      </c>
      <c r="B25" s="2" t="s">
        <v>772</v>
      </c>
      <c r="C25" s="2">
        <v>65</v>
      </c>
      <c r="D25" s="18" t="s">
        <v>603</v>
      </c>
      <c r="E25" s="7" t="s">
        <v>365</v>
      </c>
    </row>
    <row r="26" spans="1:5" ht="18.399999999999999" customHeight="1">
      <c r="A26" s="8" t="s">
        <v>424</v>
      </c>
      <c r="B26" s="9" t="s">
        <v>772</v>
      </c>
      <c r="C26" s="9">
        <v>100</v>
      </c>
      <c r="D26" s="19" t="s">
        <v>456</v>
      </c>
      <c r="E26" s="10" t="s">
        <v>365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workbookViewId="0">
      <selection activeCell="B2" sqref="B2"/>
    </sheetView>
  </sheetViews>
  <sheetFormatPr defaultRowHeight="18.399999999999999" customHeight="1"/>
  <cols>
    <col min="1" max="1" width="30" customWidth="1"/>
    <col min="2" max="2" width="25" customWidth="1"/>
    <col min="3" max="3" width="10" customWidth="1"/>
    <col min="4" max="4" width="20" customWidth="1"/>
    <col min="5" max="5" width="30" customWidth="1"/>
    <col min="6" max="13" width="0" hidden="1" customWidth="1"/>
  </cols>
  <sheetData>
    <row r="1" spans="1:8" ht="18.399999999999999" customHeight="1">
      <c r="A1" t="s">
        <v>364</v>
      </c>
    </row>
    <row r="2" spans="1:8" ht="18.399999999999999" customHeight="1">
      <c r="A2" s="11" t="s">
        <v>547</v>
      </c>
      <c r="B2" s="12" t="s">
        <v>306</v>
      </c>
      <c r="C2" s="12" t="s">
        <v>737</v>
      </c>
      <c r="D2" s="12" t="s">
        <v>426</v>
      </c>
      <c r="E2" s="14" t="s">
        <v>209</v>
      </c>
    </row>
    <row r="3" spans="1:8" ht="18.399999999999999" customHeight="1">
      <c r="A3" s="6" t="s">
        <v>8</v>
      </c>
      <c r="B3" s="2" t="s">
        <v>785</v>
      </c>
      <c r="C3" s="2" t="s">
        <v>397</v>
      </c>
      <c r="D3" s="20" t="e">
        <f>#REF!</f>
        <v>#REF!</v>
      </c>
      <c r="E3" s="15" t="s">
        <v>536</v>
      </c>
      <c r="F3" t="s">
        <v>785</v>
      </c>
      <c r="G3" t="s">
        <v>149</v>
      </c>
      <c r="H3" t="s">
        <v>785</v>
      </c>
    </row>
    <row r="4" spans="1:8" ht="18.399999999999999" customHeight="1">
      <c r="A4" s="6" t="s">
        <v>460</v>
      </c>
      <c r="B4" s="2" t="s">
        <v>785</v>
      </c>
      <c r="C4" s="2" t="s">
        <v>397</v>
      </c>
      <c r="D4" s="20" t="e">
        <f>#REF!</f>
        <v>#REF!</v>
      </c>
      <c r="E4" s="15" t="s">
        <v>307</v>
      </c>
      <c r="F4" t="s">
        <v>785</v>
      </c>
      <c r="G4" t="s">
        <v>432</v>
      </c>
      <c r="H4" t="s">
        <v>785</v>
      </c>
    </row>
    <row r="5" spans="1:8" ht="18.399999999999999" customHeight="1">
      <c r="A5" s="6" t="s">
        <v>748</v>
      </c>
      <c r="B5" s="2" t="s">
        <v>448</v>
      </c>
      <c r="C5" s="2" t="s">
        <v>762</v>
      </c>
      <c r="D5" s="20" t="e">
        <f>#REF!</f>
        <v>#REF!</v>
      </c>
      <c r="E5" s="15" t="s">
        <v>576</v>
      </c>
      <c r="F5" t="s">
        <v>785</v>
      </c>
      <c r="G5" t="s">
        <v>98</v>
      </c>
      <c r="H5" t="s">
        <v>556</v>
      </c>
    </row>
    <row r="6" spans="1:8" ht="18.399999999999999" customHeight="1">
      <c r="A6" s="6" t="s">
        <v>710</v>
      </c>
      <c r="B6" s="2" t="s">
        <v>729</v>
      </c>
      <c r="C6" s="2" t="s">
        <v>762</v>
      </c>
      <c r="D6" s="20" t="e">
        <f>#REF!</f>
        <v>#REF!</v>
      </c>
      <c r="E6" s="15" t="s">
        <v>680</v>
      </c>
      <c r="F6" t="s">
        <v>785</v>
      </c>
      <c r="G6" t="s">
        <v>612</v>
      </c>
      <c r="H6" t="s">
        <v>612</v>
      </c>
    </row>
    <row r="7" spans="1:8" ht="18.399999999999999" customHeight="1">
      <c r="A7" s="6" t="s">
        <v>234</v>
      </c>
      <c r="B7" s="2" t="s">
        <v>664</v>
      </c>
      <c r="C7" s="2" t="s">
        <v>445</v>
      </c>
      <c r="D7" s="20" t="e">
        <f>#REF!</f>
        <v>#REF!</v>
      </c>
      <c r="E7" s="15" t="s">
        <v>516</v>
      </c>
      <c r="F7" t="s">
        <v>785</v>
      </c>
      <c r="G7" t="s">
        <v>602</v>
      </c>
      <c r="H7" t="s">
        <v>602</v>
      </c>
    </row>
    <row r="8" spans="1:8" ht="18.399999999999999" customHeight="1">
      <c r="A8" s="6" t="s">
        <v>273</v>
      </c>
      <c r="B8" s="2" t="s">
        <v>441</v>
      </c>
      <c r="C8" s="2" t="s">
        <v>433</v>
      </c>
      <c r="D8" s="20" t="e">
        <f>#REF!</f>
        <v>#REF!</v>
      </c>
      <c r="E8" s="15" t="s">
        <v>142</v>
      </c>
      <c r="F8" t="s">
        <v>785</v>
      </c>
      <c r="G8" t="s">
        <v>506</v>
      </c>
      <c r="H8" t="s">
        <v>506</v>
      </c>
    </row>
    <row r="9" spans="1:8" ht="18.399999999999999" customHeight="1">
      <c r="A9" s="6" t="s">
        <v>776</v>
      </c>
      <c r="B9" s="2" t="s">
        <v>274</v>
      </c>
      <c r="C9" s="2" t="s">
        <v>738</v>
      </c>
      <c r="D9" s="20" t="e">
        <f>#REF!</f>
        <v>#REF!</v>
      </c>
      <c r="E9" s="15" t="s">
        <v>726</v>
      </c>
      <c r="F9" t="s">
        <v>360</v>
      </c>
      <c r="G9" t="s">
        <v>153</v>
      </c>
      <c r="H9" t="s">
        <v>153</v>
      </c>
    </row>
    <row r="10" spans="1:8" ht="18.399999999999999" customHeight="1">
      <c r="A10" s="6" t="s">
        <v>152</v>
      </c>
      <c r="B10" s="2" t="s">
        <v>686</v>
      </c>
      <c r="C10" s="2" t="s">
        <v>136</v>
      </c>
      <c r="D10" s="20" t="e">
        <f>#REF!</f>
        <v>#REF!</v>
      </c>
      <c r="E10" s="15" t="s">
        <v>680</v>
      </c>
      <c r="F10" t="s">
        <v>785</v>
      </c>
      <c r="G10" t="s">
        <v>303</v>
      </c>
      <c r="H10" t="s">
        <v>785</v>
      </c>
    </row>
    <row r="11" spans="1:8" ht="18.399999999999999" customHeight="1">
      <c r="A11" s="6" t="s">
        <v>734</v>
      </c>
      <c r="B11" s="2" t="s">
        <v>261</v>
      </c>
      <c r="C11" s="2" t="s">
        <v>527</v>
      </c>
      <c r="D11" s="20" t="e">
        <f>#REF!</f>
        <v>#REF!</v>
      </c>
      <c r="E11" s="15" t="s">
        <v>62</v>
      </c>
      <c r="F11" t="s">
        <v>785</v>
      </c>
      <c r="G11" t="s">
        <v>359</v>
      </c>
      <c r="H11" t="s">
        <v>785</v>
      </c>
    </row>
    <row r="12" spans="1:8" ht="18.399999999999999" customHeight="1">
      <c r="A12" s="6" t="s">
        <v>109</v>
      </c>
      <c r="B12" s="2" t="s">
        <v>125</v>
      </c>
      <c r="C12" s="2" t="s">
        <v>762</v>
      </c>
      <c r="D12" s="20" t="e">
        <f>#REF!</f>
        <v>#REF!</v>
      </c>
      <c r="E12" s="15" t="s">
        <v>773</v>
      </c>
      <c r="F12" t="s">
        <v>785</v>
      </c>
      <c r="G12" t="s">
        <v>294</v>
      </c>
      <c r="H12" t="s">
        <v>785</v>
      </c>
    </row>
    <row r="13" spans="1:8" ht="18.399999999999999" customHeight="1">
      <c r="A13" s="6" t="s">
        <v>769</v>
      </c>
      <c r="B13" s="2" t="s">
        <v>176</v>
      </c>
      <c r="C13" s="2" t="s">
        <v>762</v>
      </c>
      <c r="D13" s="20" t="e">
        <f>#REF!</f>
        <v>#REF!</v>
      </c>
      <c r="E13" s="15" t="s">
        <v>558</v>
      </c>
      <c r="F13" t="s">
        <v>785</v>
      </c>
      <c r="G13" t="s">
        <v>348</v>
      </c>
      <c r="H13" t="s">
        <v>785</v>
      </c>
    </row>
    <row r="14" spans="1:8" ht="18.399999999999999" customHeight="1">
      <c r="A14" s="6" t="s">
        <v>49</v>
      </c>
      <c r="B14" s="2" t="s">
        <v>565</v>
      </c>
      <c r="C14" s="2" t="s">
        <v>334</v>
      </c>
      <c r="D14" s="20" t="e">
        <f>#REF!</f>
        <v>#REF!</v>
      </c>
      <c r="E14" s="15" t="s">
        <v>103</v>
      </c>
      <c r="F14" t="s">
        <v>785</v>
      </c>
      <c r="G14" t="s">
        <v>419</v>
      </c>
      <c r="H14" t="s">
        <v>785</v>
      </c>
    </row>
    <row r="15" spans="1:8" ht="18.399999999999999" customHeight="1">
      <c r="A15" s="6" t="s">
        <v>85</v>
      </c>
      <c r="B15" s="2" t="s">
        <v>381</v>
      </c>
      <c r="C15" s="2" t="s">
        <v>334</v>
      </c>
      <c r="D15" s="20" t="e">
        <f>#REF!</f>
        <v>#REF!</v>
      </c>
      <c r="E15" s="15" t="s">
        <v>103</v>
      </c>
      <c r="F15" t="s">
        <v>785</v>
      </c>
      <c r="G15" t="s">
        <v>597</v>
      </c>
      <c r="H15" t="s">
        <v>785</v>
      </c>
    </row>
    <row r="16" spans="1:8" ht="18.399999999999999" customHeight="1">
      <c r="A16" s="6" t="s">
        <v>666</v>
      </c>
      <c r="B16" s="2" t="s">
        <v>449</v>
      </c>
      <c r="C16" s="2" t="s">
        <v>334</v>
      </c>
      <c r="D16" s="20" t="e">
        <f>#REF!</f>
        <v>#REF!</v>
      </c>
      <c r="E16" s="15" t="s">
        <v>103</v>
      </c>
      <c r="F16" t="s">
        <v>785</v>
      </c>
      <c r="G16" t="s">
        <v>3</v>
      </c>
      <c r="H16" t="s">
        <v>785</v>
      </c>
    </row>
    <row r="17" spans="1:8" ht="18.399999999999999" customHeight="1">
      <c r="A17" s="6" t="s">
        <v>505</v>
      </c>
      <c r="B17" s="2" t="s">
        <v>483</v>
      </c>
      <c r="C17" s="2" t="s">
        <v>621</v>
      </c>
      <c r="D17" s="20" t="e">
        <f>#REF!</f>
        <v>#REF!</v>
      </c>
      <c r="E17" s="15" t="s">
        <v>467</v>
      </c>
      <c r="F17" t="s">
        <v>785</v>
      </c>
      <c r="G17" t="s">
        <v>117</v>
      </c>
      <c r="H17" t="s">
        <v>785</v>
      </c>
    </row>
    <row r="18" spans="1:8" ht="18.399999999999999" customHeight="1">
      <c r="A18" s="6" t="s">
        <v>505</v>
      </c>
      <c r="B18" s="2" t="s">
        <v>608</v>
      </c>
      <c r="C18" s="2" t="s">
        <v>621</v>
      </c>
      <c r="D18" s="20" t="e">
        <f>#REF!</f>
        <v>#REF!</v>
      </c>
      <c r="E18" s="15" t="s">
        <v>467</v>
      </c>
      <c r="F18" t="s">
        <v>785</v>
      </c>
      <c r="G18" t="s">
        <v>319</v>
      </c>
      <c r="H18" t="s">
        <v>785</v>
      </c>
    </row>
    <row r="19" spans="1:8" ht="18.399999999999999" customHeight="1">
      <c r="A19" s="6" t="s">
        <v>13</v>
      </c>
      <c r="B19" s="2" t="s">
        <v>385</v>
      </c>
      <c r="C19" s="2" t="s">
        <v>445</v>
      </c>
      <c r="D19" s="20" t="e">
        <f>#REF!</f>
        <v>#REF!</v>
      </c>
      <c r="E19" s="15" t="s">
        <v>767</v>
      </c>
      <c r="F19" t="s">
        <v>785</v>
      </c>
      <c r="G19" t="s">
        <v>616</v>
      </c>
      <c r="H19" t="s">
        <v>785</v>
      </c>
    </row>
    <row r="20" spans="1:8" ht="18.399999999999999" customHeight="1">
      <c r="A20" s="6" t="s">
        <v>655</v>
      </c>
      <c r="B20" s="2" t="s">
        <v>696</v>
      </c>
      <c r="C20" s="2" t="s">
        <v>571</v>
      </c>
      <c r="D20" s="20" t="e">
        <f>#REF!</f>
        <v>#REF!</v>
      </c>
      <c r="E20" s="15" t="s">
        <v>189</v>
      </c>
      <c r="F20" t="s">
        <v>785</v>
      </c>
      <c r="G20" t="s">
        <v>646</v>
      </c>
      <c r="H20" t="s">
        <v>785</v>
      </c>
    </row>
    <row r="21" spans="1:8" ht="18.399999999999999" customHeight="1">
      <c r="A21" s="6" t="s">
        <v>91</v>
      </c>
      <c r="B21" s="2" t="s">
        <v>625</v>
      </c>
      <c r="C21" s="2" t="s">
        <v>571</v>
      </c>
      <c r="D21" s="20" t="e">
        <f>#REF!</f>
        <v>#REF!</v>
      </c>
      <c r="E21" s="15" t="s">
        <v>189</v>
      </c>
      <c r="F21" t="s">
        <v>785</v>
      </c>
      <c r="G21" t="s">
        <v>74</v>
      </c>
      <c r="H21" t="s">
        <v>785</v>
      </c>
    </row>
    <row r="22" spans="1:8" ht="18.399999999999999" customHeight="1">
      <c r="A22" s="6" t="s">
        <v>36</v>
      </c>
      <c r="B22" s="2" t="s">
        <v>12</v>
      </c>
      <c r="C22" s="2" t="s">
        <v>334</v>
      </c>
      <c r="D22" s="20" t="e">
        <f>#REF!</f>
        <v>#REF!</v>
      </c>
      <c r="E22" s="15" t="s">
        <v>624</v>
      </c>
      <c r="F22" t="s">
        <v>785</v>
      </c>
      <c r="G22" t="s">
        <v>459</v>
      </c>
      <c r="H22" t="s">
        <v>785</v>
      </c>
    </row>
    <row r="23" spans="1:8" ht="18.399999999999999" customHeight="1">
      <c r="A23" s="6" t="s">
        <v>324</v>
      </c>
      <c r="B23" s="2" t="s">
        <v>755</v>
      </c>
      <c r="C23" s="2" t="s">
        <v>334</v>
      </c>
      <c r="D23" s="20" t="e">
        <f>#REF!</f>
        <v>#REF!</v>
      </c>
      <c r="E23" s="15" t="s">
        <v>624</v>
      </c>
      <c r="F23" t="s">
        <v>785</v>
      </c>
      <c r="G23" t="s">
        <v>628</v>
      </c>
      <c r="H23" t="s">
        <v>785</v>
      </c>
    </row>
    <row r="24" spans="1:8" ht="18.399999999999999" customHeight="1">
      <c r="A24" s="6" t="s">
        <v>324</v>
      </c>
      <c r="B24" s="2" t="s">
        <v>333</v>
      </c>
      <c r="C24" s="2" t="s">
        <v>334</v>
      </c>
      <c r="D24" s="20" t="e">
        <f>#REF!</f>
        <v>#REF!</v>
      </c>
      <c r="E24" s="15" t="s">
        <v>624</v>
      </c>
      <c r="F24" t="s">
        <v>785</v>
      </c>
      <c r="G24" t="s">
        <v>310</v>
      </c>
      <c r="H24" t="s">
        <v>785</v>
      </c>
    </row>
    <row r="25" spans="1:8" ht="18.399999999999999" customHeight="1">
      <c r="A25" s="6" t="s">
        <v>238</v>
      </c>
      <c r="B25" s="2" t="s">
        <v>403</v>
      </c>
      <c r="C25" s="2" t="s">
        <v>334</v>
      </c>
      <c r="D25" s="20" t="e">
        <f>#REF!</f>
        <v>#REF!</v>
      </c>
      <c r="E25" s="15" t="s">
        <v>713</v>
      </c>
      <c r="F25" t="s">
        <v>785</v>
      </c>
      <c r="G25" t="s">
        <v>57</v>
      </c>
      <c r="H25" t="s">
        <v>785</v>
      </c>
    </row>
    <row r="26" spans="1:8" ht="18.399999999999999" customHeight="1">
      <c r="A26" s="6" t="s">
        <v>275</v>
      </c>
      <c r="B26" s="2" t="s">
        <v>431</v>
      </c>
      <c r="C26" s="2" t="s">
        <v>774</v>
      </c>
      <c r="D26" s="20" t="e">
        <f>#REF!</f>
        <v>#REF!</v>
      </c>
      <c r="E26" s="15" t="s">
        <v>752</v>
      </c>
      <c r="F26" t="s">
        <v>785</v>
      </c>
      <c r="G26" t="s">
        <v>252</v>
      </c>
      <c r="H26" t="s">
        <v>785</v>
      </c>
    </row>
    <row r="27" spans="1:8" ht="18.399999999999999" customHeight="1">
      <c r="A27" s="6" t="s">
        <v>600</v>
      </c>
      <c r="B27" s="2" t="s">
        <v>277</v>
      </c>
      <c r="C27" s="2" t="s">
        <v>445</v>
      </c>
      <c r="D27" s="20" t="e">
        <f>#REF!</f>
        <v>#REF!</v>
      </c>
      <c r="E27" s="15" t="s">
        <v>278</v>
      </c>
      <c r="F27" t="s">
        <v>785</v>
      </c>
      <c r="G27" t="s">
        <v>553</v>
      </c>
      <c r="H27" t="s">
        <v>785</v>
      </c>
    </row>
    <row r="28" spans="1:8" ht="18.399999999999999" customHeight="1">
      <c r="A28" s="6" t="s">
        <v>175</v>
      </c>
      <c r="B28" s="2" t="s">
        <v>72</v>
      </c>
      <c r="C28" s="2" t="s">
        <v>570</v>
      </c>
      <c r="D28" s="20" t="e">
        <f>#REF!</f>
        <v>#REF!</v>
      </c>
      <c r="E28" s="15" t="s">
        <v>193</v>
      </c>
      <c r="F28" t="s">
        <v>785</v>
      </c>
      <c r="G28" t="s">
        <v>400</v>
      </c>
      <c r="H28" t="s">
        <v>785</v>
      </c>
    </row>
    <row r="29" spans="1:8" ht="18.399999999999999" customHeight="1">
      <c r="A29" s="6" t="s">
        <v>175</v>
      </c>
      <c r="B29" s="2" t="s">
        <v>753</v>
      </c>
      <c r="C29" s="2" t="s">
        <v>570</v>
      </c>
      <c r="D29" s="20" t="e">
        <f>#REF!</f>
        <v>#REF!</v>
      </c>
      <c r="E29" s="15" t="s">
        <v>546</v>
      </c>
      <c r="F29" t="s">
        <v>785</v>
      </c>
      <c r="G29" t="s">
        <v>591</v>
      </c>
      <c r="H29" t="s">
        <v>785</v>
      </c>
    </row>
    <row r="30" spans="1:8" ht="18.399999999999999" customHeight="1">
      <c r="A30" s="6" t="s">
        <v>73</v>
      </c>
      <c r="B30" s="2" t="s">
        <v>358</v>
      </c>
      <c r="C30" s="2" t="s">
        <v>571</v>
      </c>
      <c r="D30" s="20" t="e">
        <f>#REF!</f>
        <v>#REF!</v>
      </c>
      <c r="E30" s="15" t="s">
        <v>717</v>
      </c>
      <c r="F30" t="s">
        <v>785</v>
      </c>
      <c r="G30" t="s">
        <v>144</v>
      </c>
      <c r="H30" t="s">
        <v>785</v>
      </c>
    </row>
    <row r="31" spans="1:8" ht="18.399999999999999" customHeight="1">
      <c r="A31" s="6" t="s">
        <v>373</v>
      </c>
      <c r="B31" s="2" t="s">
        <v>341</v>
      </c>
      <c r="C31" s="2" t="s">
        <v>570</v>
      </c>
      <c r="D31" s="20" t="e">
        <f>#REF!</f>
        <v>#REF!</v>
      </c>
      <c r="E31" s="15" t="s">
        <v>6</v>
      </c>
      <c r="F31" t="s">
        <v>785</v>
      </c>
      <c r="G31" t="s">
        <v>543</v>
      </c>
      <c r="H31" t="s">
        <v>785</v>
      </c>
    </row>
    <row r="32" spans="1:8" ht="18.399999999999999" customHeight="1">
      <c r="A32" s="6" t="s">
        <v>405</v>
      </c>
      <c r="B32" s="2" t="s">
        <v>493</v>
      </c>
      <c r="C32" s="2" t="s">
        <v>570</v>
      </c>
      <c r="D32" s="20" t="e">
        <f>#REF!</f>
        <v>#REF!</v>
      </c>
      <c r="E32" s="15" t="s">
        <v>316</v>
      </c>
      <c r="F32" t="s">
        <v>785</v>
      </c>
      <c r="G32" t="s">
        <v>371</v>
      </c>
      <c r="H32" t="s">
        <v>785</v>
      </c>
    </row>
    <row r="33" spans="1:8" ht="18.399999999999999" customHeight="1">
      <c r="A33" s="6" t="s">
        <v>115</v>
      </c>
      <c r="B33" s="2" t="s">
        <v>163</v>
      </c>
      <c r="C33" s="2" t="s">
        <v>570</v>
      </c>
      <c r="D33" s="20" t="e">
        <f>#REF!</f>
        <v>#REF!</v>
      </c>
      <c r="E33" s="15" t="s">
        <v>148</v>
      </c>
      <c r="F33" t="s">
        <v>785</v>
      </c>
      <c r="G33" t="s">
        <v>168</v>
      </c>
      <c r="H33" t="s">
        <v>785</v>
      </c>
    </row>
    <row r="34" spans="1:8" ht="18.399999999999999" customHeight="1">
      <c r="A34" s="6" t="s">
        <v>443</v>
      </c>
      <c r="B34" s="2" t="s">
        <v>542</v>
      </c>
      <c r="C34" s="2" t="s">
        <v>570</v>
      </c>
      <c r="D34" s="20" t="e">
        <f>#REF!</f>
        <v>#REF!</v>
      </c>
      <c r="E34" s="15" t="s">
        <v>524</v>
      </c>
      <c r="F34" t="s">
        <v>785</v>
      </c>
      <c r="G34" t="s">
        <v>745</v>
      </c>
      <c r="H34" t="s">
        <v>785</v>
      </c>
    </row>
    <row r="35" spans="1:8" ht="18.399999999999999" customHeight="1">
      <c r="A35" s="6" t="s">
        <v>497</v>
      </c>
      <c r="B35" s="2" t="s">
        <v>663</v>
      </c>
      <c r="C35" s="2" t="s">
        <v>570</v>
      </c>
      <c r="D35" s="20" t="e">
        <f>#REF!</f>
        <v>#REF!</v>
      </c>
      <c r="E35" s="15" t="s">
        <v>367</v>
      </c>
      <c r="F35" t="s">
        <v>785</v>
      </c>
      <c r="G35" t="s">
        <v>537</v>
      </c>
      <c r="H35" t="s">
        <v>785</v>
      </c>
    </row>
    <row r="36" spans="1:8" ht="18.399999999999999" customHeight="1">
      <c r="A36" s="6" t="s">
        <v>298</v>
      </c>
      <c r="B36" s="2" t="s">
        <v>663</v>
      </c>
      <c r="C36" s="2" t="s">
        <v>570</v>
      </c>
      <c r="D36" s="20" t="e">
        <f>#REF!</f>
        <v>#REF!</v>
      </c>
      <c r="E36" s="15" t="s">
        <v>778</v>
      </c>
      <c r="F36" t="s">
        <v>785</v>
      </c>
      <c r="G36" t="s">
        <v>362</v>
      </c>
      <c r="H36" t="s">
        <v>785</v>
      </c>
    </row>
    <row r="37" spans="1:8" ht="18.399999999999999" customHeight="1">
      <c r="A37" s="6" t="s">
        <v>225</v>
      </c>
      <c r="B37" s="2" t="s">
        <v>182</v>
      </c>
      <c r="C37" s="2" t="s">
        <v>570</v>
      </c>
      <c r="D37" s="20" t="e">
        <f>#REF!</f>
        <v>#REF!</v>
      </c>
      <c r="E37" s="15" t="s">
        <v>601</v>
      </c>
      <c r="F37" t="s">
        <v>785</v>
      </c>
      <c r="G37" t="s">
        <v>154</v>
      </c>
      <c r="H37" t="s">
        <v>785</v>
      </c>
    </row>
    <row r="38" spans="1:8" ht="18.399999999999999" customHeight="1">
      <c r="A38" s="6" t="s">
        <v>317</v>
      </c>
      <c r="B38" s="2" t="s">
        <v>640</v>
      </c>
      <c r="C38" s="2" t="s">
        <v>570</v>
      </c>
      <c r="D38" s="20" t="e">
        <f>#REF!</f>
        <v>#REF!</v>
      </c>
      <c r="E38" s="15" t="s">
        <v>645</v>
      </c>
      <c r="F38" t="s">
        <v>785</v>
      </c>
      <c r="G38" t="s">
        <v>775</v>
      </c>
      <c r="H38" t="s">
        <v>785</v>
      </c>
    </row>
    <row r="39" spans="1:8" ht="18.399999999999999" customHeight="1">
      <c r="A39" s="6" t="s">
        <v>123</v>
      </c>
      <c r="B39" s="2" t="s">
        <v>311</v>
      </c>
      <c r="C39" s="2" t="s">
        <v>570</v>
      </c>
      <c r="D39" s="20" t="e">
        <f>#REF!</f>
        <v>#REF!</v>
      </c>
      <c r="E39" s="15" t="s">
        <v>202</v>
      </c>
      <c r="F39" t="s">
        <v>785</v>
      </c>
      <c r="G39" t="s">
        <v>357</v>
      </c>
      <c r="H39" t="s">
        <v>785</v>
      </c>
    </row>
    <row r="40" spans="1:8" ht="18.399999999999999" customHeight="1">
      <c r="A40" s="6" t="s">
        <v>551</v>
      </c>
      <c r="B40" s="2" t="s">
        <v>693</v>
      </c>
      <c r="C40" s="2" t="s">
        <v>570</v>
      </c>
      <c r="D40" s="20" t="e">
        <f>#REF!</f>
        <v>#REF!</v>
      </c>
      <c r="E40" s="15" t="s">
        <v>492</v>
      </c>
      <c r="F40" t="s">
        <v>785</v>
      </c>
      <c r="G40" t="s">
        <v>569</v>
      </c>
      <c r="H40" t="s">
        <v>785</v>
      </c>
    </row>
    <row r="41" spans="1:8" ht="18.399999999999999" customHeight="1">
      <c r="A41" s="6" t="s">
        <v>140</v>
      </c>
      <c r="B41" s="2" t="s">
        <v>322</v>
      </c>
      <c r="C41" s="2" t="s">
        <v>570</v>
      </c>
      <c r="D41" s="20" t="e">
        <f>#REF!</f>
        <v>#REF!</v>
      </c>
      <c r="E41" s="15" t="s">
        <v>689</v>
      </c>
      <c r="F41" t="s">
        <v>785</v>
      </c>
      <c r="G41" t="s">
        <v>583</v>
      </c>
      <c r="H41" t="s">
        <v>785</v>
      </c>
    </row>
    <row r="42" spans="1:8" ht="18.399999999999999" customHeight="1">
      <c r="A42" s="6" t="s">
        <v>230</v>
      </c>
      <c r="B42" s="2" t="s">
        <v>282</v>
      </c>
      <c r="C42" s="2" t="s">
        <v>570</v>
      </c>
      <c r="D42" s="20" t="e">
        <f>#REF!</f>
        <v>#REF!</v>
      </c>
      <c r="E42" s="15" t="s">
        <v>330</v>
      </c>
      <c r="F42" t="s">
        <v>785</v>
      </c>
      <c r="G42" t="s">
        <v>411</v>
      </c>
      <c r="H42" t="s">
        <v>785</v>
      </c>
    </row>
    <row r="43" spans="1:8" ht="18.399999999999999" customHeight="1">
      <c r="A43" s="6" t="s">
        <v>667</v>
      </c>
      <c r="B43" s="2" t="s">
        <v>435</v>
      </c>
      <c r="C43" s="2" t="s">
        <v>570</v>
      </c>
      <c r="D43" s="20" t="e">
        <f>#REF!</f>
        <v>#REF!</v>
      </c>
      <c r="E43" s="15" t="s">
        <v>171</v>
      </c>
      <c r="F43" t="s">
        <v>785</v>
      </c>
      <c r="G43" t="s">
        <v>194</v>
      </c>
      <c r="H43" t="s">
        <v>785</v>
      </c>
    </row>
    <row r="44" spans="1:8" ht="18.399999999999999" customHeight="1">
      <c r="A44" s="6" t="s">
        <v>78</v>
      </c>
      <c r="B44" s="2" t="s">
        <v>684</v>
      </c>
      <c r="C44" s="2" t="s">
        <v>570</v>
      </c>
      <c r="D44" s="20" t="e">
        <f>#REF!</f>
        <v>#REF!</v>
      </c>
      <c r="E44" s="15" t="s">
        <v>53</v>
      </c>
      <c r="F44" t="s">
        <v>785</v>
      </c>
      <c r="G44" t="s">
        <v>7</v>
      </c>
      <c r="H44" t="s">
        <v>785</v>
      </c>
    </row>
    <row r="45" spans="1:8" ht="18.399999999999999" customHeight="1">
      <c r="A45" s="6" t="s">
        <v>279</v>
      </c>
      <c r="B45" s="2" t="s">
        <v>241</v>
      </c>
      <c r="C45" s="2" t="s">
        <v>570</v>
      </c>
      <c r="D45" s="20" t="e">
        <f>#REF!</f>
        <v>#REF!</v>
      </c>
      <c r="E45" s="15" t="s">
        <v>280</v>
      </c>
      <c r="F45" t="s">
        <v>785</v>
      </c>
      <c r="G45" t="s">
        <v>595</v>
      </c>
      <c r="H45" t="s">
        <v>785</v>
      </c>
    </row>
    <row r="46" spans="1:8" ht="18.399999999999999" customHeight="1">
      <c r="A46" s="6" t="s">
        <v>496</v>
      </c>
      <c r="B46" s="2" t="s">
        <v>345</v>
      </c>
      <c r="C46" s="2" t="s">
        <v>570</v>
      </c>
      <c r="D46" s="20" t="e">
        <f>#REF!</f>
        <v>#REF!</v>
      </c>
      <c r="E46" s="15" t="s">
        <v>557</v>
      </c>
      <c r="F46" t="s">
        <v>785</v>
      </c>
      <c r="G46" t="s">
        <v>423</v>
      </c>
      <c r="H46" t="s">
        <v>785</v>
      </c>
    </row>
    <row r="47" spans="1:8" ht="18.399999999999999" customHeight="1">
      <c r="A47" s="6" t="s">
        <v>683</v>
      </c>
      <c r="B47" s="2" t="s">
        <v>615</v>
      </c>
      <c r="C47" s="2" t="s">
        <v>570</v>
      </c>
      <c r="D47" s="20" t="e">
        <f>#REF!</f>
        <v>#REF!</v>
      </c>
      <c r="E47" s="15" t="s">
        <v>474</v>
      </c>
      <c r="F47" t="s">
        <v>785</v>
      </c>
      <c r="G47" t="s">
        <v>219</v>
      </c>
      <c r="H47" t="s">
        <v>785</v>
      </c>
    </row>
    <row r="48" spans="1:8" ht="18.399999999999999" customHeight="1">
      <c r="A48" s="6" t="s">
        <v>97</v>
      </c>
      <c r="B48" s="2" t="s">
        <v>108</v>
      </c>
      <c r="C48" s="2" t="s">
        <v>570</v>
      </c>
      <c r="D48" s="20" t="e">
        <f>#REF!</f>
        <v>#REF!</v>
      </c>
      <c r="E48" s="15" t="s">
        <v>657</v>
      </c>
      <c r="F48" t="s">
        <v>785</v>
      </c>
      <c r="G48" t="s">
        <v>18</v>
      </c>
      <c r="H48" t="s">
        <v>785</v>
      </c>
    </row>
    <row r="49" spans="1:8" ht="18.399999999999999" customHeight="1">
      <c r="A49" s="6" t="s">
        <v>197</v>
      </c>
      <c r="B49" s="2" t="s">
        <v>635</v>
      </c>
      <c r="C49" s="2" t="s">
        <v>570</v>
      </c>
      <c r="D49" s="20" t="e">
        <f>#REF!</f>
        <v>#REF!</v>
      </c>
      <c r="E49" s="15" t="s">
        <v>771</v>
      </c>
      <c r="F49" t="s">
        <v>785</v>
      </c>
      <c r="G49" t="s">
        <v>607</v>
      </c>
      <c r="H49" t="s">
        <v>785</v>
      </c>
    </row>
    <row r="50" spans="1:8" ht="18.399999999999999" customHeight="1">
      <c r="A50" s="6" t="s">
        <v>714</v>
      </c>
      <c r="B50" s="2" t="s">
        <v>639</v>
      </c>
      <c r="C50" s="2" t="s">
        <v>570</v>
      </c>
      <c r="D50" s="20" t="e">
        <f>#REF!</f>
        <v>#REF!</v>
      </c>
      <c r="E50" s="15" t="s">
        <v>374</v>
      </c>
      <c r="F50" t="s">
        <v>785</v>
      </c>
      <c r="G50" t="s">
        <v>487</v>
      </c>
      <c r="H50" t="s">
        <v>785</v>
      </c>
    </row>
    <row r="51" spans="1:8" ht="18.399999999999999" customHeight="1">
      <c r="A51" s="6" t="s">
        <v>416</v>
      </c>
      <c r="B51" s="2" t="s">
        <v>440</v>
      </c>
      <c r="C51" s="2" t="s">
        <v>445</v>
      </c>
      <c r="D51" s="20" t="e">
        <f>#REF!</f>
        <v>#REF!</v>
      </c>
      <c r="E51" s="15" t="s">
        <v>313</v>
      </c>
      <c r="F51" t="s">
        <v>785</v>
      </c>
      <c r="G51" t="s">
        <v>203</v>
      </c>
      <c r="H51" t="s">
        <v>785</v>
      </c>
    </row>
    <row r="52" spans="1:8" ht="18.399999999999999" customHeight="1">
      <c r="A52" s="6" t="s">
        <v>743</v>
      </c>
      <c r="B52" s="2" t="s">
        <v>409</v>
      </c>
      <c r="C52" s="2" t="s">
        <v>774</v>
      </c>
      <c r="D52" s="20" t="e">
        <f>#REF!</f>
        <v>#REF!</v>
      </c>
      <c r="E52" s="15" t="s">
        <v>656</v>
      </c>
      <c r="F52" t="s">
        <v>785</v>
      </c>
      <c r="G52" t="s">
        <v>2</v>
      </c>
      <c r="H52" t="s">
        <v>785</v>
      </c>
    </row>
    <row r="53" spans="1:8" ht="18.399999999999999" customHeight="1">
      <c r="A53" s="6" t="s">
        <v>143</v>
      </c>
      <c r="B53" s="2" t="s">
        <v>692</v>
      </c>
      <c r="C53" s="2" t="s">
        <v>774</v>
      </c>
      <c r="D53" s="20" t="e">
        <f>#REF!</f>
        <v>#REF!</v>
      </c>
      <c r="E53" s="15" t="s">
        <v>71</v>
      </c>
      <c r="F53" t="s">
        <v>785</v>
      </c>
      <c r="G53" t="s">
        <v>45</v>
      </c>
      <c r="H53" t="s">
        <v>785</v>
      </c>
    </row>
    <row r="54" spans="1:8" ht="18.399999999999999" customHeight="1">
      <c r="A54" s="6" t="s">
        <v>768</v>
      </c>
      <c r="B54" s="2" t="s">
        <v>577</v>
      </c>
      <c r="C54" s="2" t="s">
        <v>728</v>
      </c>
      <c r="D54" s="20" t="e">
        <f>#REF!</f>
        <v>#REF!</v>
      </c>
      <c r="E54" s="15" t="s">
        <v>415</v>
      </c>
      <c r="F54" t="s">
        <v>785</v>
      </c>
      <c r="G54" t="s">
        <v>248</v>
      </c>
      <c r="H54" t="s">
        <v>785</v>
      </c>
    </row>
    <row r="55" spans="1:8" ht="18.399999999999999" customHeight="1">
      <c r="A55" s="6" t="s">
        <v>130</v>
      </c>
      <c r="B55" s="2" t="s">
        <v>627</v>
      </c>
      <c r="C55" s="2" t="s">
        <v>136</v>
      </c>
      <c r="D55" s="20" t="e">
        <f>#REF!</f>
        <v>#REF!</v>
      </c>
      <c r="E55" s="15" t="s">
        <v>652</v>
      </c>
      <c r="F55" t="s">
        <v>785</v>
      </c>
      <c r="G55" t="s">
        <v>288</v>
      </c>
      <c r="H55" t="s">
        <v>785</v>
      </c>
    </row>
    <row r="56" spans="1:8" ht="18.399999999999999" customHeight="1">
      <c r="A56" s="6" t="s">
        <v>722</v>
      </c>
      <c r="B56" s="2" t="s">
        <v>79</v>
      </c>
      <c r="C56" s="2" t="s">
        <v>728</v>
      </c>
      <c r="D56" s="20" t="e">
        <f>#REF!</f>
        <v>#REF!</v>
      </c>
      <c r="E56" s="15" t="s">
        <v>637</v>
      </c>
      <c r="F56" t="s">
        <v>785</v>
      </c>
      <c r="G56" t="s">
        <v>453</v>
      </c>
      <c r="H56" t="s">
        <v>785</v>
      </c>
    </row>
    <row r="57" spans="1:8" ht="18.399999999999999" customHeight="1">
      <c r="A57" s="6" t="s">
        <v>555</v>
      </c>
      <c r="B57" s="2" t="s">
        <v>785</v>
      </c>
      <c r="C57" s="2" t="s">
        <v>762</v>
      </c>
      <c r="D57" s="20" t="e">
        <f>#REF!</f>
        <v>#REF!</v>
      </c>
      <c r="E57" s="15" t="s">
        <v>674</v>
      </c>
      <c r="F57" t="s">
        <v>785</v>
      </c>
      <c r="G57" t="s">
        <v>229</v>
      </c>
      <c r="H57" t="s">
        <v>785</v>
      </c>
    </row>
    <row r="58" spans="1:8" ht="18.399999999999999" customHeight="1">
      <c r="A58" s="8" t="s">
        <v>138</v>
      </c>
      <c r="B58" s="9" t="s">
        <v>116</v>
      </c>
      <c r="C58" s="9" t="s">
        <v>762</v>
      </c>
      <c r="D58" s="21" t="e">
        <f>#REF!</f>
        <v>#REF!</v>
      </c>
      <c r="E58" s="16" t="s">
        <v>716</v>
      </c>
      <c r="F58" t="s">
        <v>785</v>
      </c>
      <c r="G58" t="s">
        <v>29</v>
      </c>
      <c r="H58" t="s">
        <v>785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showFormulas="1" workbookViewId="0">
      <selection activeCell="B2" sqref="B2"/>
    </sheetView>
  </sheetViews>
  <sheetFormatPr defaultRowHeight="18.399999999999999" customHeight="1"/>
  <cols>
    <col min="1" max="1" width="15" customWidth="1"/>
    <col min="2" max="2" width="5" customWidth="1"/>
    <col min="3" max="4" width="20" customWidth="1"/>
  </cols>
  <sheetData>
    <row r="1" spans="1:4" ht="18.399999999999999" customHeight="1">
      <c r="A1" t="s">
        <v>708</v>
      </c>
    </row>
    <row r="2" spans="1:4" ht="18.399999999999999" customHeight="1">
      <c r="A2" s="11" t="s">
        <v>77</v>
      </c>
      <c r="B2" s="12" t="s">
        <v>588</v>
      </c>
      <c r="C2" s="12" t="s">
        <v>146</v>
      </c>
      <c r="D2" s="14" t="s">
        <v>185</v>
      </c>
    </row>
    <row r="3" spans="1:4" ht="18.399999999999999" customHeight="1">
      <c r="A3" s="6" t="s">
        <v>521</v>
      </c>
      <c r="B3" s="2" t="s">
        <v>258</v>
      </c>
      <c r="C3" s="2" t="s">
        <v>746</v>
      </c>
      <c r="D3" s="15" t="s">
        <v>785</v>
      </c>
    </row>
    <row r="4" spans="1:4" ht="18.399999999999999" customHeight="1">
      <c r="A4" s="6" t="s">
        <v>499</v>
      </c>
      <c r="B4" s="2" t="s">
        <v>772</v>
      </c>
      <c r="C4" s="2">
        <v>1180</v>
      </c>
      <c r="D4" s="15" t="s">
        <v>338</v>
      </c>
    </row>
    <row r="5" spans="1:4" ht="18.399999999999999" customHeight="1">
      <c r="A5" s="6" t="s">
        <v>169</v>
      </c>
      <c r="B5" s="2" t="s">
        <v>772</v>
      </c>
      <c r="C5" s="2">
        <v>1180</v>
      </c>
      <c r="D5" s="15" t="s">
        <v>665</v>
      </c>
    </row>
    <row r="6" spans="1:4" ht="18.399999999999999" customHeight="1">
      <c r="A6" s="6" t="s">
        <v>106</v>
      </c>
      <c r="B6" s="2" t="s">
        <v>772</v>
      </c>
      <c r="C6" s="2">
        <v>13.2</v>
      </c>
      <c r="D6" s="15" t="s">
        <v>636</v>
      </c>
    </row>
    <row r="7" spans="1:4" ht="18.399999999999999" customHeight="1">
      <c r="A7" s="6" t="s">
        <v>206</v>
      </c>
      <c r="B7" s="2" t="s">
        <v>772</v>
      </c>
      <c r="C7" s="2">
        <v>724.05</v>
      </c>
      <c r="D7" s="15" t="s">
        <v>476</v>
      </c>
    </row>
    <row r="8" spans="1:4" ht="18.399999999999999" customHeight="1">
      <c r="A8" s="6" t="s">
        <v>372</v>
      </c>
      <c r="B8" s="2" t="s">
        <v>772</v>
      </c>
      <c r="C8" s="2">
        <v>1000</v>
      </c>
      <c r="D8" s="15" t="s">
        <v>698</v>
      </c>
    </row>
    <row r="9" spans="1:4" ht="18.399999999999999" customHeight="1">
      <c r="A9" s="6" t="s">
        <v>134</v>
      </c>
      <c r="B9" s="2" t="s">
        <v>772</v>
      </c>
      <c r="C9" s="2">
        <v>1580</v>
      </c>
      <c r="D9" s="15" t="s">
        <v>347</v>
      </c>
    </row>
    <row r="10" spans="1:4" ht="18.399999999999999" customHeight="1">
      <c r="A10" s="6" t="s">
        <v>567</v>
      </c>
      <c r="B10" s="2" t="s">
        <v>258</v>
      </c>
      <c r="C10" s="2" t="s">
        <v>10</v>
      </c>
      <c r="D10" s="15" t="s">
        <v>579</v>
      </c>
    </row>
    <row r="11" spans="1:4" ht="18.399999999999999" customHeight="1">
      <c r="A11" s="6" t="s">
        <v>9</v>
      </c>
      <c r="B11" s="2" t="s">
        <v>258</v>
      </c>
      <c r="C11" s="2" t="s">
        <v>10</v>
      </c>
      <c r="D11" s="15" t="s">
        <v>174</v>
      </c>
    </row>
    <row r="12" spans="1:4" ht="18.399999999999999" customHeight="1">
      <c r="A12" s="6" t="s">
        <v>473</v>
      </c>
      <c r="B12" s="2" t="s">
        <v>258</v>
      </c>
      <c r="C12" s="2" t="s">
        <v>420</v>
      </c>
      <c r="D12" s="15" t="s">
        <v>563</v>
      </c>
    </row>
    <row r="13" spans="1:4" ht="18.399999999999999" customHeight="1">
      <c r="A13" s="6" t="s">
        <v>39</v>
      </c>
      <c r="B13" s="2" t="s">
        <v>772</v>
      </c>
      <c r="C13" s="2">
        <v>1.25</v>
      </c>
      <c r="D13" s="15" t="s">
        <v>632</v>
      </c>
    </row>
    <row r="14" spans="1:4" ht="18.399999999999999" customHeight="1">
      <c r="A14" s="6" t="s">
        <v>480</v>
      </c>
      <c r="B14" s="2" t="s">
        <v>772</v>
      </c>
      <c r="C14" s="2">
        <v>1.071</v>
      </c>
      <c r="D14" s="15" t="s">
        <v>284</v>
      </c>
    </row>
    <row r="15" spans="1:4" ht="18.399999999999999" customHeight="1">
      <c r="A15" s="6" t="s">
        <v>404</v>
      </c>
      <c r="B15" s="2" t="s">
        <v>258</v>
      </c>
      <c r="C15" s="2" t="s">
        <v>681</v>
      </c>
      <c r="D15" s="15" t="s">
        <v>515</v>
      </c>
    </row>
    <row r="16" spans="1:4" ht="18.399999999999999" customHeight="1">
      <c r="A16" s="6" t="s">
        <v>518</v>
      </c>
      <c r="B16" s="2" t="s">
        <v>258</v>
      </c>
      <c r="C16" s="2" t="s">
        <v>681</v>
      </c>
      <c r="D16" s="15" t="s">
        <v>533</v>
      </c>
    </row>
    <row r="17" spans="1:4" ht="18.399999999999999" customHeight="1">
      <c r="A17" s="6" t="s">
        <v>155</v>
      </c>
      <c r="B17" s="2" t="s">
        <v>258</v>
      </c>
      <c r="C17" s="2" t="s">
        <v>681</v>
      </c>
      <c r="D17" s="15" t="s">
        <v>145</v>
      </c>
    </row>
    <row r="18" spans="1:4" ht="18.399999999999999" customHeight="1">
      <c r="A18" s="6" t="s">
        <v>302</v>
      </c>
      <c r="B18" s="2" t="s">
        <v>258</v>
      </c>
      <c r="C18" s="3">
        <f t="shared" ref="C18:C23" si="0">25/20 * 16/12 * 1/8</f>
        <v>0.20833333333333334</v>
      </c>
      <c r="D18" s="15" t="s">
        <v>735</v>
      </c>
    </row>
    <row r="19" spans="1:4" ht="18.399999999999999" customHeight="1">
      <c r="A19" s="6" t="s">
        <v>711</v>
      </c>
      <c r="B19" s="2" t="s">
        <v>258</v>
      </c>
      <c r="C19" s="3">
        <f t="shared" si="0"/>
        <v>0.20833333333333334</v>
      </c>
      <c r="D19" s="15" t="s">
        <v>237</v>
      </c>
    </row>
    <row r="20" spans="1:4" ht="18.399999999999999" customHeight="1">
      <c r="A20" s="6" t="s">
        <v>70</v>
      </c>
      <c r="B20" s="2" t="s">
        <v>258</v>
      </c>
      <c r="C20" s="3">
        <f t="shared" si="0"/>
        <v>0.20833333333333334</v>
      </c>
      <c r="D20" s="15" t="s">
        <v>538</v>
      </c>
    </row>
    <row r="21" spans="1:4" ht="18.399999999999999" customHeight="1">
      <c r="A21" s="6" t="s">
        <v>264</v>
      </c>
      <c r="B21" s="2" t="s">
        <v>258</v>
      </c>
      <c r="C21" s="3">
        <f t="shared" si="0"/>
        <v>0.20833333333333334</v>
      </c>
      <c r="D21" s="15" t="s">
        <v>337</v>
      </c>
    </row>
    <row r="22" spans="1:4" ht="18.399999999999999" customHeight="1">
      <c r="A22" s="6" t="s">
        <v>732</v>
      </c>
      <c r="B22" s="2" t="s">
        <v>258</v>
      </c>
      <c r="C22" s="3">
        <f t="shared" si="0"/>
        <v>0.20833333333333334</v>
      </c>
      <c r="D22" s="15" t="s">
        <v>584</v>
      </c>
    </row>
    <row r="23" spans="1:4" ht="18.399999999999999" customHeight="1">
      <c r="A23" s="6" t="s">
        <v>383</v>
      </c>
      <c r="B23" s="2" t="s">
        <v>258</v>
      </c>
      <c r="C23" s="3">
        <f t="shared" si="0"/>
        <v>0.20833333333333334</v>
      </c>
      <c r="D23" s="15" t="s">
        <v>51</v>
      </c>
    </row>
    <row r="24" spans="1:4" ht="18.399999999999999" customHeight="1">
      <c r="A24" s="6" t="s">
        <v>598</v>
      </c>
      <c r="B24" s="2" t="s">
        <v>772</v>
      </c>
      <c r="C24" s="2">
        <v>1</v>
      </c>
      <c r="D24" s="15" t="s">
        <v>417</v>
      </c>
    </row>
    <row r="25" spans="1:4" ht="18.399999999999999" customHeight="1">
      <c r="A25" s="6" t="s">
        <v>389</v>
      </c>
      <c r="B25" s="2" t="s">
        <v>772</v>
      </c>
      <c r="C25" s="2">
        <v>1.5</v>
      </c>
      <c r="D25" s="15" t="s">
        <v>731</v>
      </c>
    </row>
    <row r="26" spans="1:4" ht="18.399999999999999" customHeight="1">
      <c r="A26" s="6" t="s">
        <v>723</v>
      </c>
      <c r="B26" s="2" t="s">
        <v>772</v>
      </c>
      <c r="C26" s="2">
        <v>1.1599999999999999</v>
      </c>
      <c r="D26" s="15" t="s">
        <v>756</v>
      </c>
    </row>
    <row r="27" spans="1:4" ht="18.399999999999999" customHeight="1">
      <c r="A27" s="6" t="s">
        <v>770</v>
      </c>
      <c r="B27" s="2" t="s">
        <v>772</v>
      </c>
      <c r="C27" s="2">
        <v>1.6</v>
      </c>
      <c r="D27" s="15" t="s">
        <v>208</v>
      </c>
    </row>
    <row r="28" spans="1:4" ht="18.399999999999999" customHeight="1">
      <c r="A28" s="6" t="s">
        <v>204</v>
      </c>
      <c r="B28" s="2" t="s">
        <v>772</v>
      </c>
      <c r="C28" s="2">
        <v>1.6</v>
      </c>
      <c r="D28" s="15" t="s">
        <v>133</v>
      </c>
    </row>
    <row r="29" spans="1:4" ht="18.399999999999999" customHeight="1">
      <c r="A29" s="6" t="s">
        <v>653</v>
      </c>
      <c r="B29" s="2" t="s">
        <v>772</v>
      </c>
      <c r="C29" s="2">
        <v>1.6</v>
      </c>
      <c r="D29" s="15" t="s">
        <v>514</v>
      </c>
    </row>
    <row r="30" spans="1:4" ht="18.399999999999999" customHeight="1">
      <c r="A30" s="6" t="s">
        <v>363</v>
      </c>
      <c r="B30" s="2" t="s">
        <v>772</v>
      </c>
      <c r="C30" s="2">
        <v>1.94</v>
      </c>
      <c r="D30" s="15" t="s">
        <v>519</v>
      </c>
    </row>
    <row r="31" spans="1:4" ht="18.399999999999999" customHeight="1">
      <c r="A31" s="6" t="s">
        <v>697</v>
      </c>
      <c r="B31" s="2" t="s">
        <v>772</v>
      </c>
      <c r="C31" s="2">
        <v>1.94</v>
      </c>
      <c r="D31" s="15" t="s">
        <v>578</v>
      </c>
    </row>
    <row r="32" spans="1:4" ht="18.399999999999999" customHeight="1">
      <c r="A32" s="6" t="s">
        <v>272</v>
      </c>
      <c r="B32" s="2" t="s">
        <v>772</v>
      </c>
      <c r="C32" s="2">
        <v>1.94</v>
      </c>
      <c r="D32" s="15" t="s">
        <v>137</v>
      </c>
    </row>
    <row r="33" spans="1:4" ht="18.399999999999999" customHeight="1">
      <c r="A33" s="6" t="s">
        <v>184</v>
      </c>
      <c r="B33" s="2" t="s">
        <v>772</v>
      </c>
      <c r="C33" s="2">
        <v>1</v>
      </c>
      <c r="D33" s="15" t="s">
        <v>191</v>
      </c>
    </row>
    <row r="34" spans="1:4" ht="18.399999999999999" customHeight="1">
      <c r="A34" s="6" t="s">
        <v>529</v>
      </c>
      <c r="B34" s="2" t="s">
        <v>772</v>
      </c>
      <c r="C34" s="2">
        <v>1</v>
      </c>
      <c r="D34" s="15" t="s">
        <v>268</v>
      </c>
    </row>
    <row r="35" spans="1:4" ht="18.399999999999999" customHeight="1">
      <c r="A35" s="6" t="s">
        <v>69</v>
      </c>
      <c r="B35" s="2" t="s">
        <v>772</v>
      </c>
      <c r="C35" s="2">
        <v>1</v>
      </c>
      <c r="D35" s="15" t="s">
        <v>468</v>
      </c>
    </row>
    <row r="36" spans="1:4" ht="18.399999999999999" customHeight="1">
      <c r="A36" s="6" t="s">
        <v>528</v>
      </c>
      <c r="B36" s="2" t="s">
        <v>258</v>
      </c>
      <c r="C36" s="2" t="s">
        <v>681</v>
      </c>
      <c r="D36" s="15" t="s">
        <v>63</v>
      </c>
    </row>
    <row r="37" spans="1:4" ht="18.399999999999999" customHeight="1">
      <c r="A37" s="6" t="s">
        <v>414</v>
      </c>
      <c r="B37" s="2" t="s">
        <v>258</v>
      </c>
      <c r="C37" s="2" t="s">
        <v>681</v>
      </c>
      <c r="D37" s="15" t="s">
        <v>55</v>
      </c>
    </row>
    <row r="38" spans="1:4" ht="18.399999999999999" customHeight="1">
      <c r="A38" s="6" t="s">
        <v>104</v>
      </c>
      <c r="B38" s="2" t="s">
        <v>258</v>
      </c>
      <c r="C38" s="2" t="s">
        <v>681</v>
      </c>
      <c r="D38" s="15" t="s">
        <v>34</v>
      </c>
    </row>
    <row r="39" spans="1:4" ht="18.399999999999999" customHeight="1">
      <c r="A39" s="6" t="s">
        <v>617</v>
      </c>
      <c r="B39" s="2" t="s">
        <v>772</v>
      </c>
      <c r="C39" s="2">
        <v>1.1100000000000001</v>
      </c>
      <c r="D39" s="15" t="s">
        <v>690</v>
      </c>
    </row>
    <row r="40" spans="1:4" ht="18.399999999999999" customHeight="1">
      <c r="A40" s="6" t="s">
        <v>292</v>
      </c>
      <c r="B40" s="2" t="s">
        <v>772</v>
      </c>
      <c r="C40" s="2">
        <v>1.1200000000000001</v>
      </c>
      <c r="D40" s="15" t="s">
        <v>245</v>
      </c>
    </row>
    <row r="41" spans="1:4" ht="18.399999999999999" customHeight="1">
      <c r="A41" s="6" t="s">
        <v>730</v>
      </c>
      <c r="B41" s="2" t="s">
        <v>258</v>
      </c>
      <c r="C41" s="2" t="s">
        <v>750</v>
      </c>
      <c r="D41" s="15" t="s">
        <v>658</v>
      </c>
    </row>
    <row r="42" spans="1:4" ht="18.399999999999999" customHeight="1">
      <c r="A42" s="6" t="s">
        <v>592</v>
      </c>
      <c r="B42" s="2" t="s">
        <v>258</v>
      </c>
      <c r="C42" s="2" t="s">
        <v>750</v>
      </c>
      <c r="D42" s="15" t="s">
        <v>685</v>
      </c>
    </row>
    <row r="43" spans="1:4" ht="18.399999999999999" customHeight="1">
      <c r="A43" s="6" t="s">
        <v>304</v>
      </c>
      <c r="B43" s="2" t="s">
        <v>258</v>
      </c>
      <c r="C43" s="2" t="s">
        <v>750</v>
      </c>
      <c r="D43" s="15" t="s">
        <v>398</v>
      </c>
    </row>
    <row r="44" spans="1:4" ht="18.399999999999999" customHeight="1">
      <c r="A44" s="6" t="s">
        <v>575</v>
      </c>
      <c r="B44" s="2" t="s">
        <v>258</v>
      </c>
      <c r="C44" s="2" t="s">
        <v>681</v>
      </c>
      <c r="D44" s="15" t="s">
        <v>785</v>
      </c>
    </row>
    <row r="45" spans="1:4" ht="18.399999999999999" customHeight="1">
      <c r="A45" s="6" t="s">
        <v>325</v>
      </c>
      <c r="B45" s="2" t="s">
        <v>258</v>
      </c>
      <c r="C45" s="2" t="s">
        <v>785</v>
      </c>
      <c r="D45" s="15" t="s">
        <v>785</v>
      </c>
    </row>
    <row r="46" spans="1:4" ht="18.399999999999999" customHeight="1">
      <c r="A46" s="6" t="s">
        <v>235</v>
      </c>
      <c r="B46" s="2" t="s">
        <v>258</v>
      </c>
      <c r="C46" s="2" t="s">
        <v>785</v>
      </c>
      <c r="D46" s="15" t="s">
        <v>785</v>
      </c>
    </row>
    <row r="47" spans="1:4" ht="18.399999999999999" customHeight="1">
      <c r="A47" s="6" t="s">
        <v>442</v>
      </c>
      <c r="B47" s="2" t="s">
        <v>772</v>
      </c>
      <c r="C47" s="2">
        <v>1180</v>
      </c>
      <c r="D47" s="15" t="s">
        <v>226</v>
      </c>
    </row>
    <row r="48" spans="1:4" ht="18.399999999999999" customHeight="1">
      <c r="A48" s="6" t="s">
        <v>89</v>
      </c>
      <c r="B48" s="2" t="s">
        <v>772</v>
      </c>
      <c r="C48" s="2">
        <v>1180</v>
      </c>
      <c r="D48" s="15" t="s">
        <v>517</v>
      </c>
    </row>
    <row r="49" spans="1:4" ht="18.399999999999999" customHeight="1">
      <c r="A49" s="6" t="s">
        <v>119</v>
      </c>
      <c r="B49" s="2" t="s">
        <v>258</v>
      </c>
      <c r="C49" s="2" t="s">
        <v>394</v>
      </c>
      <c r="D49" s="15" t="s">
        <v>785</v>
      </c>
    </row>
    <row r="50" spans="1:4" ht="18.399999999999999" customHeight="1">
      <c r="A50" s="8" t="s">
        <v>110</v>
      </c>
      <c r="B50" s="9" t="s">
        <v>258</v>
      </c>
      <c r="C50" s="9" t="s">
        <v>681</v>
      </c>
      <c r="D50" s="16" t="s">
        <v>785</v>
      </c>
    </row>
  </sheetData>
  <phoneticPr fontId="3" type="noConversion"/>
  <pageMargins left="0.31496062992125984" right="0.31496062992125984" top="1" bottom="0.59055118110236215" header="0.5" footer="0.5"/>
  <pageSetup paperSize="9" orientation="portrait" r:id="rId1"/>
  <headerFooter alignWithMargins="0">
    <oddHeader>&amp;RPage : &amp;P/&amp;N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defaultRowHeight="12.75" customHeight="1"/>
  <sheetData/>
  <phoneticPr fontId="3" type="noConversion"/>
  <pageMargins left="0.75" right="0.75" top="1" bottom="1" header="0.5" footer="0.5"/>
  <pageSetup paperSize="9" orientation="portrait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설계설명서</vt:lpstr>
      <vt:lpstr>예정공정표</vt:lpstr>
      <vt:lpstr>원가계산서</vt:lpstr>
      <vt:lpstr>내역서</vt:lpstr>
      <vt:lpstr>전역변수</vt:lpstr>
      <vt:lpstr>자재</vt:lpstr>
      <vt:lpstr>중기전역변수</vt:lpstr>
      <vt:lpstr>Sheet3</vt:lpstr>
      <vt:lpstr>내역서!Print_Area</vt:lpstr>
      <vt:lpstr>설계설명서!Print_Area</vt:lpstr>
      <vt:lpstr>예정공정표!Print_Area</vt:lpstr>
      <vt:lpstr>원가계산서!Print_Area</vt:lpstr>
      <vt:lpstr>내역서!Print_Titles</vt:lpstr>
      <vt:lpstr>설계설명서!Print_Titles</vt:lpstr>
      <vt:lpstr>예정공정표!Print_Titles</vt:lpstr>
      <vt:lpstr>원가계산서!Print_Titles</vt:lpstr>
      <vt:lpstr>자재!Print_Titles</vt:lpstr>
      <vt:lpstr>전역변수!Print_Titles</vt:lpstr>
      <vt:lpstr>중기전역변수!Print_Titles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2024-07-05T02:13:50Z</cp:lastPrinted>
  <dcterms:created xsi:type="dcterms:W3CDTF">2024-07-05T02:16:11Z</dcterms:created>
  <dcterms:modified xsi:type="dcterms:W3CDTF">2024-07-18T04:47:46Z</dcterms:modified>
</cp:coreProperties>
</file>